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クラウドワークス\受注\テンプレート10件（CWs1：大原様）\"/>
    </mc:Choice>
  </mc:AlternateContent>
  <xr:revisionPtr revIDLastSave="0" documentId="13_ncr:1_{1812A16A-6E62-4F81-90FF-531790A1590C}" xr6:coauthVersionLast="45" xr6:coauthVersionMax="45" xr10:uidLastSave="{00000000-0000-0000-0000-000000000000}"/>
  <bookViews>
    <workbookView xWindow="-120" yWindow="-120" windowWidth="20730" windowHeight="11160" xr2:uid="{095ACB95-195C-4299-B93C-D6D70B137F7C}"/>
  </bookViews>
  <sheets>
    <sheet name="仮払い申請書" sheetId="6" r:id="rId1"/>
    <sheet name="入力シート" sheetId="4" r:id="rId2"/>
    <sheet name="Sheet1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5" i="6" l="1"/>
  <c r="A44" i="6" l="1"/>
  <c r="A43" i="6"/>
  <c r="A42" i="6"/>
  <c r="A41" i="6"/>
  <c r="N37" i="6"/>
  <c r="Q37" i="6" s="1"/>
  <c r="C37" i="6"/>
  <c r="A37" i="6"/>
  <c r="N36" i="6"/>
  <c r="Q36" i="6" s="1"/>
  <c r="C36" i="6"/>
  <c r="A36" i="6"/>
  <c r="N35" i="6"/>
  <c r="C35" i="6"/>
  <c r="A35" i="6"/>
  <c r="N34" i="6"/>
  <c r="C34" i="6"/>
  <c r="A34" i="6"/>
  <c r="N33" i="6"/>
  <c r="C33" i="6"/>
  <c r="A33" i="6"/>
  <c r="N32" i="6"/>
  <c r="C32" i="6"/>
  <c r="A32" i="6"/>
  <c r="N31" i="6"/>
  <c r="C31" i="6"/>
  <c r="A31" i="6"/>
  <c r="N30" i="6"/>
  <c r="C30" i="6"/>
  <c r="A30" i="6"/>
  <c r="N29" i="6"/>
  <c r="C29" i="6"/>
  <c r="A29" i="6"/>
  <c r="N28" i="6"/>
  <c r="C28" i="6"/>
  <c r="A28" i="6"/>
  <c r="N27" i="6"/>
  <c r="C27" i="6"/>
  <c r="A27" i="6"/>
  <c r="N26" i="6"/>
  <c r="C26" i="6"/>
  <c r="A26" i="6"/>
  <c r="N25" i="6"/>
  <c r="C25" i="6"/>
  <c r="A25" i="6"/>
  <c r="N24" i="6"/>
  <c r="C24" i="6"/>
  <c r="A24" i="6"/>
  <c r="N23" i="6"/>
  <c r="C23" i="6"/>
  <c r="A23" i="6"/>
  <c r="N22" i="6"/>
  <c r="C22" i="6"/>
  <c r="A22" i="6"/>
  <c r="N21" i="6"/>
  <c r="C21" i="6"/>
  <c r="A21" i="6"/>
  <c r="N20" i="6"/>
  <c r="C20" i="6"/>
  <c r="A20" i="6"/>
  <c r="N19" i="6"/>
  <c r="C19" i="6"/>
  <c r="A19" i="6"/>
  <c r="N18" i="6"/>
  <c r="C18" i="6"/>
  <c r="A18" i="6"/>
  <c r="N17" i="6"/>
  <c r="C17" i="6"/>
  <c r="A17" i="6"/>
  <c r="N16" i="6"/>
  <c r="C16" i="6"/>
  <c r="A16" i="6"/>
  <c r="N15" i="6"/>
  <c r="C15" i="6"/>
  <c r="A15" i="6"/>
  <c r="N14" i="6"/>
  <c r="C14" i="6"/>
  <c r="A14" i="6"/>
  <c r="N13" i="6"/>
  <c r="C13" i="6"/>
  <c r="A13" i="6"/>
  <c r="I10" i="6"/>
  <c r="C10" i="6"/>
  <c r="Q10" i="6"/>
  <c r="Q3" i="6"/>
  <c r="A12" i="6"/>
  <c r="C12" i="6"/>
  <c r="N12" i="6"/>
  <c r="Q12" i="6" s="1"/>
  <c r="D6" i="6"/>
  <c r="D5" i="6"/>
  <c r="Q13" i="6" l="1"/>
  <c r="Q14" i="6" s="1"/>
  <c r="Q16" i="6" s="1"/>
  <c r="Q17" i="6" s="1"/>
  <c r="Q18" i="6" s="1"/>
  <c r="Q19" i="6" s="1"/>
  <c r="Q20" i="6" s="1"/>
  <c r="Q21" i="6" s="1"/>
  <c r="Q22" i="6" s="1"/>
  <c r="Q23" i="6" s="1"/>
  <c r="Q24" i="6" s="1"/>
  <c r="Q25" i="6" s="1"/>
  <c r="Q26" i="6" s="1"/>
  <c r="Q27" i="6" s="1"/>
  <c r="Q28" i="6" s="1"/>
  <c r="Q29" i="6" s="1"/>
  <c r="Q30" i="6" s="1"/>
  <c r="Q31" i="6" s="1"/>
  <c r="Q32" i="6" s="1"/>
  <c r="Q33" i="6" s="1"/>
  <c r="Q34" i="6" s="1"/>
  <c r="Q35" i="6" s="1"/>
  <c r="N38" i="6"/>
  <c r="Q38" i="6" s="1"/>
</calcChain>
</file>

<file path=xl/sharedStrings.xml><?xml version="1.0" encoding="utf-8"?>
<sst xmlns="http://schemas.openxmlformats.org/spreadsheetml/2006/main" count="170" uniqueCount="43">
  <si>
    <t>起票年月日</t>
    <rPh sb="0" eb="2">
      <t>キヒョウ</t>
    </rPh>
    <rPh sb="2" eb="5">
      <t>ネンガッピ</t>
    </rPh>
    <phoneticPr fontId="1"/>
  </si>
  <si>
    <t>申請者</t>
    <rPh sb="0" eb="3">
      <t>シンセイシャ</t>
    </rPh>
    <phoneticPr fontId="1"/>
  </si>
  <si>
    <t>所属部署</t>
    <rPh sb="0" eb="2">
      <t>ショゾク</t>
    </rPh>
    <rPh sb="2" eb="4">
      <t>ブショ</t>
    </rPh>
    <phoneticPr fontId="1"/>
  </si>
  <si>
    <t>記入例</t>
    <rPh sb="0" eb="2">
      <t>キニュウ</t>
    </rPh>
    <rPh sb="2" eb="3">
      <t>レイ</t>
    </rPh>
    <phoneticPr fontId="1"/>
  </si>
  <si>
    <t>2019年10月改定版</t>
    <rPh sb="4" eb="5">
      <t>ネン</t>
    </rPh>
    <rPh sb="7" eb="8">
      <t>ガツ</t>
    </rPh>
    <rPh sb="8" eb="10">
      <t>カイテイ</t>
    </rPh>
    <rPh sb="10" eb="11">
      <t>バン</t>
    </rPh>
    <phoneticPr fontId="1"/>
  </si>
  <si>
    <t>備考</t>
    <rPh sb="0" eb="2">
      <t>ビコウ</t>
    </rPh>
    <phoneticPr fontId="1"/>
  </si>
  <si>
    <t>備考１行目</t>
    <rPh sb="0" eb="2">
      <t>ビコウ</t>
    </rPh>
    <rPh sb="3" eb="5">
      <t>ギョウメ</t>
    </rPh>
    <phoneticPr fontId="1"/>
  </si>
  <si>
    <t>備考２行目</t>
    <rPh sb="0" eb="2">
      <t>ビコウ</t>
    </rPh>
    <rPh sb="3" eb="5">
      <t>ギョウメ</t>
    </rPh>
    <phoneticPr fontId="1"/>
  </si>
  <si>
    <t>備考３行目</t>
    <rPh sb="0" eb="2">
      <t>ビコウ</t>
    </rPh>
    <rPh sb="3" eb="5">
      <t>ギョウメ</t>
    </rPh>
    <phoneticPr fontId="1"/>
  </si>
  <si>
    <t>備考４行目</t>
    <rPh sb="0" eb="2">
      <t>ビコウ</t>
    </rPh>
    <rPh sb="3" eb="5">
      <t>ギョウメ</t>
    </rPh>
    <phoneticPr fontId="1"/>
  </si>
  <si>
    <t>営業1部営業２課</t>
    <phoneticPr fontId="1"/>
  </si>
  <si>
    <t>営業　好太郎</t>
    <phoneticPr fontId="1"/>
  </si>
  <si>
    <t>≪備考欄≫</t>
    <rPh sb="1" eb="3">
      <t>ビコウ</t>
    </rPh>
    <rPh sb="3" eb="4">
      <t>ラン</t>
    </rPh>
    <phoneticPr fontId="1"/>
  </si>
  <si>
    <t>起票年月日：</t>
    <rPh sb="0" eb="5">
      <t>キヒョウネンガッピ</t>
    </rPh>
    <phoneticPr fontId="1"/>
  </si>
  <si>
    <t>下記の通り申請いたします。</t>
    <rPh sb="0" eb="2">
      <t>カキ</t>
    </rPh>
    <rPh sb="3" eb="4">
      <t>トオ</t>
    </rPh>
    <rPh sb="5" eb="7">
      <t>シンセイ</t>
    </rPh>
    <phoneticPr fontId="1"/>
  </si>
  <si>
    <t>所属部署：</t>
    <rPh sb="0" eb="2">
      <t>ショゾク</t>
    </rPh>
    <rPh sb="2" eb="4">
      <t>ブショ</t>
    </rPh>
    <phoneticPr fontId="1"/>
  </si>
  <si>
    <t>申請者：</t>
    <rPh sb="0" eb="3">
      <t>シンセイシャ</t>
    </rPh>
    <phoneticPr fontId="1"/>
  </si>
  <si>
    <t>・領収書別紙添付</t>
    <rPh sb="1" eb="4">
      <t>リョウシュウショ</t>
    </rPh>
    <rPh sb="4" eb="6">
      <t>ベッシ</t>
    </rPh>
    <rPh sb="6" eb="8">
      <t>テンプ</t>
    </rPh>
    <phoneticPr fontId="1"/>
  </si>
  <si>
    <t>・出張先での移動の際の交通費は通常交通費に記載</t>
    <rPh sb="1" eb="3">
      <t>シュッチョウ</t>
    </rPh>
    <rPh sb="3" eb="4">
      <t>サキ</t>
    </rPh>
    <rPh sb="6" eb="8">
      <t>イドウ</t>
    </rPh>
    <rPh sb="9" eb="10">
      <t>サイ</t>
    </rPh>
    <rPh sb="11" eb="14">
      <t>コウツウヒ</t>
    </rPh>
    <rPh sb="15" eb="17">
      <t>ツウジョウ</t>
    </rPh>
    <rPh sb="17" eb="20">
      <t>コウツウヒ</t>
    </rPh>
    <rPh sb="21" eb="23">
      <t>キサイ</t>
    </rPh>
    <phoneticPr fontId="1"/>
  </si>
  <si>
    <t>・ここにテキスト</t>
    <phoneticPr fontId="1"/>
  </si>
  <si>
    <t>・これは例文</t>
    <rPh sb="4" eb="6">
      <t>レイブン</t>
    </rPh>
    <phoneticPr fontId="1"/>
  </si>
  <si>
    <t>精算期間</t>
    <rPh sb="0" eb="2">
      <t>セイサン</t>
    </rPh>
    <rPh sb="2" eb="4">
      <t>キカン</t>
    </rPh>
    <phoneticPr fontId="7"/>
  </si>
  <si>
    <t>～</t>
    <phoneticPr fontId="11"/>
  </si>
  <si>
    <t>使用金額</t>
    <rPh sb="0" eb="2">
      <t>シヨウ</t>
    </rPh>
    <rPh sb="2" eb="4">
      <t>キンガク</t>
    </rPh>
    <phoneticPr fontId="7"/>
  </si>
  <si>
    <t>残額</t>
    <rPh sb="0" eb="2">
      <t>ザンガク</t>
    </rPh>
    <phoneticPr fontId="7"/>
  </si>
  <si>
    <t>仮払い経費申請書</t>
    <rPh sb="0" eb="2">
      <t>カリバラ</t>
    </rPh>
    <rPh sb="3" eb="5">
      <t>ケイヒ</t>
    </rPh>
    <rPh sb="5" eb="8">
      <t>シンセイショ</t>
    </rPh>
    <phoneticPr fontId="1"/>
  </si>
  <si>
    <t>合　計　</t>
    <rPh sb="0" eb="1">
      <t>ゴウ</t>
    </rPh>
    <rPh sb="2" eb="3">
      <t>ケイ</t>
    </rPh>
    <phoneticPr fontId="1"/>
  </si>
  <si>
    <t>仮払い番号</t>
    <rPh sb="0" eb="1">
      <t>カリ</t>
    </rPh>
    <rPh sb="1" eb="2">
      <t>ハラ</t>
    </rPh>
    <rPh sb="3" eb="5">
      <t>バンゴウ</t>
    </rPh>
    <phoneticPr fontId="1"/>
  </si>
  <si>
    <t>精算期間（開始日）</t>
    <rPh sb="0" eb="2">
      <t>セイサン</t>
    </rPh>
    <rPh sb="2" eb="4">
      <t>キカン</t>
    </rPh>
    <rPh sb="5" eb="7">
      <t>カイシ</t>
    </rPh>
    <rPh sb="7" eb="8">
      <t>ヒ</t>
    </rPh>
    <phoneticPr fontId="1"/>
  </si>
  <si>
    <t>精算期間（締め日）</t>
    <rPh sb="0" eb="2">
      <t>セイサン</t>
    </rPh>
    <rPh sb="2" eb="4">
      <t>キカン</t>
    </rPh>
    <rPh sb="5" eb="6">
      <t>シ</t>
    </rPh>
    <rPh sb="7" eb="8">
      <t>ヒ</t>
    </rPh>
    <phoneticPr fontId="1"/>
  </si>
  <si>
    <t>仮払い番号</t>
    <rPh sb="0" eb="2">
      <t>カリバラ</t>
    </rPh>
    <rPh sb="3" eb="5">
      <t>バンゴウ</t>
    </rPh>
    <rPh sb="4" eb="5">
      <t>コウバン</t>
    </rPh>
    <phoneticPr fontId="1"/>
  </si>
  <si>
    <t>使用日</t>
    <rPh sb="0" eb="2">
      <t>シヨウ</t>
    </rPh>
    <rPh sb="2" eb="3">
      <t>ヒ</t>
    </rPh>
    <phoneticPr fontId="7"/>
  </si>
  <si>
    <t>品目等</t>
    <rPh sb="0" eb="2">
      <t>ヒンモク</t>
    </rPh>
    <rPh sb="2" eb="3">
      <t>トウ</t>
    </rPh>
    <phoneticPr fontId="7"/>
  </si>
  <si>
    <t>使用日</t>
    <rPh sb="0" eb="2">
      <t>シヨウ</t>
    </rPh>
    <rPh sb="2" eb="3">
      <t>ヒ</t>
    </rPh>
    <phoneticPr fontId="1"/>
  </si>
  <si>
    <t>品目等</t>
    <rPh sb="0" eb="2">
      <t>ヒンモク</t>
    </rPh>
    <rPh sb="2" eb="3">
      <t>トウ</t>
    </rPh>
    <phoneticPr fontId="1"/>
  </si>
  <si>
    <t>レターパック代</t>
    <rPh sb="6" eb="7">
      <t>ダイ</t>
    </rPh>
    <phoneticPr fontId="1"/>
  </si>
  <si>
    <t>収入印紙代</t>
    <rPh sb="0" eb="2">
      <t>シュウニュウ</t>
    </rPh>
    <rPh sb="2" eb="4">
      <t>インシ</t>
    </rPh>
    <rPh sb="4" eb="5">
      <t>ダイ</t>
    </rPh>
    <phoneticPr fontId="1"/>
  </si>
  <si>
    <t>清掃用品代</t>
    <rPh sb="0" eb="2">
      <t>セイソウ</t>
    </rPh>
    <rPh sb="2" eb="4">
      <t>ヨウヒン</t>
    </rPh>
    <rPh sb="4" eb="5">
      <t>ダイ</t>
    </rPh>
    <phoneticPr fontId="1"/>
  </si>
  <si>
    <t>仮払い割当金額</t>
    <rPh sb="0" eb="1">
      <t>カリ</t>
    </rPh>
    <rPh sb="1" eb="2">
      <t>ハラ</t>
    </rPh>
    <rPh sb="3" eb="5">
      <t>ワリアテ</t>
    </rPh>
    <rPh sb="5" eb="7">
      <t>キンガク</t>
    </rPh>
    <phoneticPr fontId="1"/>
  </si>
  <si>
    <t>・当初割当金額5,000円から〇月〇日に5,000円追加</t>
    <rPh sb="1" eb="3">
      <t>トウショ</t>
    </rPh>
    <rPh sb="3" eb="5">
      <t>ワリアテ</t>
    </rPh>
    <rPh sb="5" eb="7">
      <t>キンガク</t>
    </rPh>
    <rPh sb="12" eb="13">
      <t>エン</t>
    </rPh>
    <rPh sb="16" eb="17">
      <t>ガツ</t>
    </rPh>
    <rPh sb="18" eb="19">
      <t>ヒ</t>
    </rPh>
    <rPh sb="25" eb="26">
      <t>エン</t>
    </rPh>
    <rPh sb="26" eb="28">
      <t>ツイカ</t>
    </rPh>
    <phoneticPr fontId="1"/>
  </si>
  <si>
    <t>仮払い割当金額（円）</t>
    <rPh sb="0" eb="2">
      <t>カリバラ</t>
    </rPh>
    <rPh sb="3" eb="5">
      <t>ワリアテ</t>
    </rPh>
    <rPh sb="5" eb="7">
      <t>キンガク</t>
    </rPh>
    <rPh sb="8" eb="9">
      <t>エン</t>
    </rPh>
    <phoneticPr fontId="1"/>
  </si>
  <si>
    <t>金額（円）</t>
    <rPh sb="0" eb="2">
      <t>キンガク</t>
    </rPh>
    <rPh sb="3" eb="4">
      <t>エン</t>
    </rPh>
    <phoneticPr fontId="1"/>
  </si>
  <si>
    <t>レターパック代×10</t>
    <rPh sb="6" eb="7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</si>
</sst>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&quot;円&quot;"/>
    <numFmt numFmtId="177" formatCode="[$-F800]dddd\,\ mmmm\ dd\,\ yyyy"/>
    <numFmt numFmtId="178" formatCode="m&quot;月&quot;d&quot;日&quot;;@"/>
    <numFmt numFmtId="179" formatCode="[$-411]&quot;起票年月日       &quot;\ ggge&quot; 年 &quot;m&quot; 月 &quot;d&quot; 日&quot;"/>
  </numFmts>
  <fonts count="1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3"/>
      <charset val="128"/>
    </font>
    <font>
      <b/>
      <sz val="10"/>
      <color theme="1"/>
      <name val="游ゴシック"/>
      <family val="3"/>
      <charset val="128"/>
    </font>
    <font>
      <sz val="8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b/>
      <sz val="8"/>
      <color theme="0"/>
      <name val="游ゴシック"/>
      <family val="3"/>
      <charset val="128"/>
      <scheme val="minor"/>
    </font>
    <font>
      <sz val="8"/>
      <color theme="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b/>
      <u/>
      <sz val="10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0"/>
      <color theme="0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142">
    <xf numFmtId="0" fontId="0" fillId="0" borderId="0" xfId="0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0" fontId="5" fillId="3" borderId="1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9" fillId="5" borderId="0" xfId="0" applyFont="1" applyFill="1" applyAlignment="1">
      <alignment horizontal="center" vertical="center" wrapText="1"/>
    </xf>
    <xf numFmtId="0" fontId="5" fillId="4" borderId="3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vertical="center" wrapText="1"/>
    </xf>
    <xf numFmtId="56" fontId="5" fillId="2" borderId="18" xfId="0" applyNumberFormat="1" applyFont="1" applyFill="1" applyBorder="1" applyAlignment="1">
      <alignment vertical="center" wrapText="1"/>
    </xf>
    <xf numFmtId="56" fontId="5" fillId="2" borderId="20" xfId="0" applyNumberFormat="1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 wrapText="1"/>
    </xf>
    <xf numFmtId="0" fontId="5" fillId="2" borderId="26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vertical="center" wrapText="1"/>
    </xf>
    <xf numFmtId="0" fontId="5" fillId="3" borderId="25" xfId="0" applyFont="1" applyFill="1" applyBorder="1" applyAlignment="1">
      <alignment vertical="center" wrapText="1"/>
    </xf>
    <xf numFmtId="0" fontId="12" fillId="0" borderId="0" xfId="1" applyFont="1"/>
    <xf numFmtId="0" fontId="13" fillId="0" borderId="0" xfId="0" applyFont="1">
      <alignment vertical="center"/>
    </xf>
    <xf numFmtId="0" fontId="13" fillId="0" borderId="0" xfId="0" applyFont="1" applyFill="1" applyBorder="1" applyAlignment="1">
      <alignment vertical="center" shrinkToFit="1"/>
    </xf>
    <xf numFmtId="0" fontId="13" fillId="0" borderId="0" xfId="0" applyFont="1" applyFill="1">
      <alignment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horizontal="left" vertical="center"/>
    </xf>
    <xf numFmtId="0" fontId="12" fillId="0" borderId="0" xfId="1" applyFont="1" applyAlignment="1">
      <alignment vertical="center"/>
    </xf>
    <xf numFmtId="179" fontId="12" fillId="0" borderId="0" xfId="1" applyNumberFormat="1" applyFont="1" applyAlignment="1">
      <alignment horizontal="distributed" vertical="center"/>
    </xf>
    <xf numFmtId="179" fontId="12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/>
    </xf>
    <xf numFmtId="14" fontId="12" fillId="0" borderId="0" xfId="1" applyNumberFormat="1" applyFont="1" applyAlignment="1">
      <alignment vertical="center" shrinkToFit="1"/>
    </xf>
    <xf numFmtId="0" fontId="12" fillId="0" borderId="0" xfId="1" applyFont="1" applyAlignment="1"/>
    <xf numFmtId="0" fontId="16" fillId="0" borderId="0" xfId="1" applyFont="1" applyBorder="1" applyAlignment="1">
      <alignment vertical="center" justifyLastLine="1"/>
    </xf>
    <xf numFmtId="0" fontId="12" fillId="0" borderId="0" xfId="1" applyFont="1" applyBorder="1" applyAlignment="1" applyProtection="1">
      <alignment vertical="center"/>
      <protection locked="0"/>
    </xf>
    <xf numFmtId="0" fontId="12" fillId="0" borderId="0" xfId="1" applyFont="1" applyBorder="1" applyAlignment="1">
      <alignment horizontal="right" vertical="center" justifyLastLine="1"/>
    </xf>
    <xf numFmtId="0" fontId="13" fillId="0" borderId="0" xfId="0" applyFont="1" applyBorder="1">
      <alignment vertical="center"/>
    </xf>
    <xf numFmtId="0" fontId="12" fillId="0" borderId="0" xfId="1" applyFont="1" applyBorder="1" applyAlignment="1">
      <alignment horizontal="distributed" vertical="center" justifyLastLine="1"/>
    </xf>
    <xf numFmtId="0" fontId="5" fillId="3" borderId="10" xfId="0" applyFont="1" applyFill="1" applyBorder="1" applyAlignment="1">
      <alignment vertical="center" wrapText="1"/>
    </xf>
    <xf numFmtId="0" fontId="5" fillId="3" borderId="26" xfId="0" applyFont="1" applyFill="1" applyBorder="1" applyAlignment="1">
      <alignment vertical="center" wrapText="1"/>
    </xf>
    <xf numFmtId="0" fontId="5" fillId="7" borderId="11" xfId="0" applyFont="1" applyFill="1" applyBorder="1" applyAlignment="1">
      <alignment vertical="center" wrapText="1"/>
    </xf>
    <xf numFmtId="0" fontId="5" fillId="7" borderId="5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7" borderId="1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8" borderId="4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8" borderId="4" xfId="0" applyFont="1" applyFill="1" applyBorder="1" applyAlignment="1">
      <alignment horizontal="left" vertical="center" wrapText="1"/>
    </xf>
    <xf numFmtId="0" fontId="4" fillId="8" borderId="4" xfId="0" applyNumberFormat="1" applyFont="1" applyFill="1" applyBorder="1" applyAlignment="1">
      <alignment horizontal="right" vertical="center" wrapText="1"/>
    </xf>
    <xf numFmtId="177" fontId="5" fillId="7" borderId="11" xfId="0" applyNumberFormat="1" applyFont="1" applyFill="1" applyBorder="1" applyAlignment="1">
      <alignment vertical="center" wrapText="1"/>
    </xf>
    <xf numFmtId="177" fontId="5" fillId="7" borderId="10" xfId="0" applyNumberFormat="1" applyFont="1" applyFill="1" applyBorder="1" applyAlignment="1">
      <alignment vertical="center" wrapText="1"/>
    </xf>
    <xf numFmtId="177" fontId="5" fillId="7" borderId="26" xfId="0" applyNumberFormat="1" applyFont="1" applyFill="1" applyBorder="1" applyAlignment="1">
      <alignment vertical="center" wrapText="1"/>
    </xf>
    <xf numFmtId="177" fontId="5" fillId="7" borderId="15" xfId="0" applyNumberFormat="1" applyFont="1" applyFill="1" applyBorder="1" applyAlignment="1">
      <alignment vertical="center" wrapText="1"/>
    </xf>
    <xf numFmtId="177" fontId="5" fillId="7" borderId="5" xfId="0" applyNumberFormat="1" applyFont="1" applyFill="1" applyBorder="1" applyAlignment="1">
      <alignment vertical="center" wrapText="1"/>
    </xf>
    <xf numFmtId="177" fontId="5" fillId="7" borderId="1" xfId="0" applyNumberFormat="1" applyFont="1" applyFill="1" applyBorder="1" applyAlignment="1">
      <alignment vertical="center" wrapText="1"/>
    </xf>
    <xf numFmtId="176" fontId="12" fillId="0" borderId="15" xfId="1" applyNumberFormat="1" applyFont="1" applyBorder="1" applyAlignment="1">
      <alignment horizontal="right" vertical="center"/>
    </xf>
    <xf numFmtId="176" fontId="12" fillId="0" borderId="16" xfId="1" applyNumberFormat="1" applyFont="1" applyBorder="1" applyAlignment="1">
      <alignment horizontal="right" vertical="center"/>
    </xf>
    <xf numFmtId="176" fontId="12" fillId="0" borderId="17" xfId="1" applyNumberFormat="1" applyFont="1" applyBorder="1" applyAlignment="1">
      <alignment horizontal="right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12" fillId="0" borderId="7" xfId="1" applyFont="1" applyBorder="1" applyAlignment="1">
      <alignment horizontal="center" vertical="center" justifyLastLine="1"/>
    </xf>
    <xf numFmtId="0" fontId="12" fillId="0" borderId="9" xfId="1" applyFont="1" applyBorder="1" applyAlignment="1">
      <alignment horizontal="center" vertical="center" justifyLastLine="1"/>
    </xf>
    <xf numFmtId="0" fontId="13" fillId="0" borderId="0" xfId="0" applyFont="1" applyBorder="1" applyAlignment="1">
      <alignment horizontal="center" vertical="center"/>
    </xf>
    <xf numFmtId="177" fontId="13" fillId="0" borderId="0" xfId="0" applyNumberFormat="1" applyFont="1" applyAlignment="1">
      <alignment horizontal="righ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6" fillId="0" borderId="0" xfId="1" applyFont="1" applyBorder="1" applyAlignment="1">
      <alignment horizontal="distributed" vertical="center" justifyLastLine="1"/>
    </xf>
    <xf numFmtId="0" fontId="12" fillId="0" borderId="0" xfId="1" applyFont="1" applyBorder="1" applyAlignment="1">
      <alignment horizontal="right" vertical="center" justifyLastLine="1"/>
    </xf>
    <xf numFmtId="176" fontId="12" fillId="8" borderId="9" xfId="1" applyNumberFormat="1" applyFont="1" applyFill="1" applyBorder="1" applyAlignment="1">
      <alignment horizontal="right" vertical="center"/>
    </xf>
    <xf numFmtId="176" fontId="12" fillId="8" borderId="8" xfId="1" applyNumberFormat="1" applyFont="1" applyFill="1" applyBorder="1" applyAlignment="1">
      <alignment horizontal="right" vertical="center"/>
    </xf>
    <xf numFmtId="0" fontId="12" fillId="0" borderId="9" xfId="1" applyFont="1" applyBorder="1" applyAlignment="1">
      <alignment horizontal="center" vertical="center"/>
    </xf>
    <xf numFmtId="177" fontId="12" fillId="0" borderId="7" xfId="1" applyNumberFormat="1" applyFont="1" applyBorder="1" applyAlignment="1">
      <alignment horizontal="center" vertical="center" wrapText="1"/>
    </xf>
    <xf numFmtId="177" fontId="12" fillId="0" borderId="9" xfId="1" applyNumberFormat="1" applyFont="1" applyBorder="1" applyAlignment="1">
      <alignment horizontal="center" vertical="center" wrapText="1"/>
    </xf>
    <xf numFmtId="177" fontId="12" fillId="0" borderId="9" xfId="1" applyNumberFormat="1" applyFont="1" applyBorder="1" applyAlignment="1">
      <alignment horizontal="center" vertical="center"/>
    </xf>
    <xf numFmtId="177" fontId="12" fillId="0" borderId="7" xfId="1" applyNumberFormat="1" applyFont="1" applyBorder="1" applyAlignment="1">
      <alignment horizontal="center" vertical="center"/>
    </xf>
    <xf numFmtId="177" fontId="12" fillId="0" borderId="8" xfId="1" applyNumberFormat="1" applyFont="1" applyBorder="1" applyAlignment="1">
      <alignment horizontal="center" vertical="center"/>
    </xf>
    <xf numFmtId="176" fontId="12" fillId="6" borderId="15" xfId="1" applyNumberFormat="1" applyFont="1" applyFill="1" applyBorder="1" applyAlignment="1">
      <alignment horizontal="right" vertical="center"/>
    </xf>
    <xf numFmtId="176" fontId="12" fillId="6" borderId="16" xfId="1" applyNumberFormat="1" applyFont="1" applyFill="1" applyBorder="1" applyAlignment="1">
      <alignment horizontal="right" vertical="center"/>
    </xf>
    <xf numFmtId="176" fontId="12" fillId="6" borderId="17" xfId="1" applyNumberFormat="1" applyFont="1" applyFill="1" applyBorder="1" applyAlignment="1">
      <alignment horizontal="right" vertical="center"/>
    </xf>
    <xf numFmtId="0" fontId="12" fillId="0" borderId="7" xfId="1" applyFont="1" applyBorder="1" applyAlignment="1">
      <alignment horizontal="distributed" vertical="center" justifyLastLine="1"/>
    </xf>
    <xf numFmtId="0" fontId="12" fillId="0" borderId="9" xfId="1" applyFont="1" applyBorder="1" applyAlignment="1">
      <alignment horizontal="distributed" vertical="center" justifyLastLine="1"/>
    </xf>
    <xf numFmtId="0" fontId="12" fillId="0" borderId="8" xfId="1" applyFont="1" applyBorder="1" applyAlignment="1">
      <alignment horizontal="distributed" vertical="center" justifyLastLine="1"/>
    </xf>
    <xf numFmtId="0" fontId="12" fillId="0" borderId="4" xfId="1" applyFont="1" applyBorder="1" applyAlignment="1">
      <alignment horizontal="distributed" vertical="center" justifyLastLine="1"/>
    </xf>
    <xf numFmtId="0" fontId="12" fillId="0" borderId="20" xfId="1" applyFont="1" applyBorder="1" applyAlignment="1" applyProtection="1">
      <alignment horizontal="center" vertical="center" shrinkToFit="1"/>
    </xf>
    <xf numFmtId="0" fontId="12" fillId="0" borderId="21" xfId="1" applyFont="1" applyBorder="1" applyAlignment="1" applyProtection="1">
      <alignment horizontal="center" vertical="center" shrinkToFit="1"/>
    </xf>
    <xf numFmtId="0" fontId="12" fillId="0" borderId="24" xfId="1" applyFont="1" applyBorder="1" applyAlignment="1" applyProtection="1">
      <alignment horizontal="center" vertical="center" shrinkToFit="1"/>
    </xf>
    <xf numFmtId="176" fontId="12" fillId="0" borderId="20" xfId="1" applyNumberFormat="1" applyFont="1" applyBorder="1" applyAlignment="1">
      <alignment horizontal="right" vertical="center"/>
    </xf>
    <xf numFmtId="176" fontId="12" fillId="0" borderId="21" xfId="1" applyNumberFormat="1" applyFont="1" applyBorder="1" applyAlignment="1">
      <alignment horizontal="right" vertical="center"/>
    </xf>
    <xf numFmtId="176" fontId="12" fillId="0" borderId="24" xfId="1" applyNumberFormat="1" applyFont="1" applyBorder="1" applyAlignment="1">
      <alignment horizontal="right" vertical="center"/>
    </xf>
    <xf numFmtId="0" fontId="12" fillId="6" borderId="15" xfId="1" applyFont="1" applyFill="1" applyBorder="1" applyAlignment="1" applyProtection="1">
      <alignment horizontal="center" vertical="center" shrinkToFit="1"/>
    </xf>
    <xf numFmtId="0" fontId="12" fillId="6" borderId="16" xfId="1" applyFont="1" applyFill="1" applyBorder="1" applyAlignment="1" applyProtection="1">
      <alignment horizontal="center" vertical="center" shrinkToFit="1"/>
    </xf>
    <xf numFmtId="0" fontId="12" fillId="6" borderId="17" xfId="1" applyFont="1" applyFill="1" applyBorder="1" applyAlignment="1" applyProtection="1">
      <alignment horizontal="center" vertical="center" shrinkToFit="1"/>
    </xf>
    <xf numFmtId="0" fontId="12" fillId="0" borderId="15" xfId="1" applyFont="1" applyBorder="1" applyAlignment="1" applyProtection="1">
      <alignment horizontal="center" vertical="center" shrinkToFit="1"/>
    </xf>
    <xf numFmtId="0" fontId="12" fillId="0" borderId="16" xfId="1" applyFont="1" applyBorder="1" applyAlignment="1" applyProtection="1">
      <alignment horizontal="center" vertical="center" shrinkToFit="1"/>
    </xf>
    <xf numFmtId="0" fontId="12" fillId="0" borderId="17" xfId="1" applyFont="1" applyBorder="1" applyAlignment="1" applyProtection="1">
      <alignment horizontal="center" vertical="center" shrinkToFit="1"/>
    </xf>
    <xf numFmtId="0" fontId="2" fillId="0" borderId="25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178" fontId="12" fillId="6" borderId="25" xfId="1" applyNumberFormat="1" applyFont="1" applyFill="1" applyBorder="1" applyAlignment="1" applyProtection="1">
      <alignment horizontal="left" vertical="center" shrinkToFit="1"/>
    </xf>
    <xf numFmtId="178" fontId="12" fillId="6" borderId="23" xfId="1" applyNumberFormat="1" applyFont="1" applyFill="1" applyBorder="1" applyAlignment="1" applyProtection="1">
      <alignment horizontal="left" vertical="center" shrinkToFit="1"/>
    </xf>
    <xf numFmtId="0" fontId="12" fillId="6" borderId="25" xfId="1" applyFont="1" applyFill="1" applyBorder="1" applyAlignment="1" applyProtection="1">
      <alignment horizontal="center" vertical="center" shrinkToFit="1"/>
    </xf>
    <xf numFmtId="0" fontId="12" fillId="6" borderId="22" xfId="1" applyFont="1" applyFill="1" applyBorder="1" applyAlignment="1" applyProtection="1">
      <alignment horizontal="center" vertical="center" shrinkToFit="1"/>
    </xf>
    <xf numFmtId="0" fontId="12" fillId="6" borderId="23" xfId="1" applyFont="1" applyFill="1" applyBorder="1" applyAlignment="1" applyProtection="1">
      <alignment horizontal="center" vertical="center" shrinkToFit="1"/>
    </xf>
    <xf numFmtId="176" fontId="12" fillId="6" borderId="30" xfId="1" applyNumberFormat="1" applyFont="1" applyFill="1" applyBorder="1" applyAlignment="1">
      <alignment horizontal="right" vertical="center"/>
    </xf>
    <xf numFmtId="176" fontId="12" fillId="6" borderId="31" xfId="1" applyNumberFormat="1" applyFont="1" applyFill="1" applyBorder="1" applyAlignment="1">
      <alignment horizontal="right" vertical="center"/>
    </xf>
    <xf numFmtId="176" fontId="12" fillId="6" borderId="32" xfId="1" applyNumberFormat="1" applyFont="1" applyFill="1" applyBorder="1" applyAlignment="1">
      <alignment horizontal="right" vertical="center"/>
    </xf>
    <xf numFmtId="176" fontId="12" fillId="0" borderId="27" xfId="1" applyNumberFormat="1" applyFont="1" applyBorder="1" applyAlignment="1">
      <alignment horizontal="right" vertical="center"/>
    </xf>
    <xf numFmtId="0" fontId="12" fillId="0" borderId="28" xfId="1" applyFont="1" applyBorder="1" applyAlignment="1">
      <alignment horizontal="right" vertical="center"/>
    </xf>
    <xf numFmtId="176" fontId="12" fillId="0" borderId="28" xfId="1" applyNumberFormat="1" applyFont="1" applyBorder="1" applyAlignment="1">
      <alignment horizontal="right" vertical="center"/>
    </xf>
    <xf numFmtId="176" fontId="12" fillId="0" borderId="29" xfId="1" applyNumberFormat="1" applyFont="1" applyBorder="1" applyAlignment="1">
      <alignment horizontal="right" vertical="center"/>
    </xf>
    <xf numFmtId="0" fontId="14" fillId="0" borderId="0" xfId="1" applyFont="1" applyBorder="1" applyAlignment="1">
      <alignment horizontal="right" vertical="center" justifyLastLine="1"/>
    </xf>
    <xf numFmtId="0" fontId="14" fillId="0" borderId="33" xfId="1" applyFont="1" applyBorder="1" applyAlignment="1">
      <alignment horizontal="right" vertical="center" justifyLastLine="1"/>
    </xf>
    <xf numFmtId="0" fontId="2" fillId="0" borderId="0" xfId="0" applyFont="1" applyBorder="1" applyAlignment="1">
      <alignment horizontal="righ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178" fontId="12" fillId="6" borderId="15" xfId="1" applyNumberFormat="1" applyFont="1" applyFill="1" applyBorder="1" applyAlignment="1" applyProtection="1">
      <alignment horizontal="left" vertical="center" shrinkToFit="1"/>
    </xf>
    <xf numFmtId="178" fontId="12" fillId="6" borderId="17" xfId="1" applyNumberFormat="1" applyFont="1" applyFill="1" applyBorder="1" applyAlignment="1" applyProtection="1">
      <alignment horizontal="left" vertical="center" shrinkToFit="1"/>
    </xf>
    <xf numFmtId="178" fontId="12" fillId="0" borderId="15" xfId="1" applyNumberFormat="1" applyFont="1" applyBorder="1" applyAlignment="1" applyProtection="1">
      <alignment horizontal="left" vertical="center" shrinkToFit="1"/>
    </xf>
    <xf numFmtId="178" fontId="12" fillId="0" borderId="17" xfId="1" applyNumberFormat="1" applyFont="1" applyBorder="1" applyAlignment="1" applyProtection="1">
      <alignment horizontal="left" vertical="center" shrinkToFit="1"/>
    </xf>
    <xf numFmtId="0" fontId="12" fillId="0" borderId="8" xfId="1" applyFont="1" applyBorder="1" applyAlignment="1">
      <alignment horizontal="center" vertical="center" justifyLastLine="1"/>
    </xf>
    <xf numFmtId="178" fontId="12" fillId="0" borderId="20" xfId="1" applyNumberFormat="1" applyFont="1" applyBorder="1" applyAlignment="1" applyProtection="1">
      <alignment horizontal="left" vertical="center" shrinkToFit="1"/>
    </xf>
    <xf numFmtId="178" fontId="12" fillId="0" borderId="24" xfId="1" applyNumberFormat="1" applyFont="1" applyBorder="1" applyAlignment="1" applyProtection="1">
      <alignment horizontal="left" vertical="center" shrinkToFit="1"/>
    </xf>
    <xf numFmtId="0" fontId="5" fillId="3" borderId="6" xfId="0" applyFont="1" applyFill="1" applyBorder="1" applyAlignment="1">
      <alignment horizontal="center" vertical="center" textRotation="255" wrapText="1"/>
    </xf>
    <xf numFmtId="0" fontId="5" fillId="3" borderId="4" xfId="0" applyFont="1" applyFill="1" applyBorder="1" applyAlignment="1">
      <alignment horizontal="center" vertical="center" textRotation="255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2">
    <cellStyle name="標準" xfId="0" builtinId="0"/>
    <cellStyle name="標準_出金処理依頼書（見本）" xfId="1" xr:uid="{9B70FDEF-3BBE-4B91-9AEE-D523C49807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38100</xdr:rowOff>
    </xdr:from>
    <xdr:to>
      <xdr:col>10</xdr:col>
      <xdr:colOff>0</xdr:colOff>
      <xdr:row>0</xdr:row>
      <xdr:rowOff>161925</xdr:rowOff>
    </xdr:to>
    <xdr:sp macro="" textlink="">
      <xdr:nvSpPr>
        <xdr:cNvPr id="44" name="テキスト 68">
          <a:extLst>
            <a:ext uri="{FF2B5EF4-FFF2-40B4-BE49-F238E27FC236}">
              <a16:creationId xmlns:a16="http://schemas.microsoft.com/office/drawing/2014/main" id="{0F00C8DF-432D-4922-8482-3937BA5C766E}"/>
            </a:ext>
          </a:extLst>
        </xdr:cNvPr>
        <xdr:cNvSpPr txBox="1">
          <a:spLocks noChangeArrowheads="1"/>
        </xdr:cNvSpPr>
      </xdr:nvSpPr>
      <xdr:spPr bwMode="auto">
        <a:xfrm>
          <a:off x="3990975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</a:p>
      </xdr:txBody>
    </xdr:sp>
    <xdr:clientData/>
  </xdr:twoCellAnchor>
  <xdr:twoCellAnchor>
    <xdr:from>
      <xdr:col>10</xdr:col>
      <xdr:colOff>0</xdr:colOff>
      <xdr:row>0</xdr:row>
      <xdr:rowOff>38100</xdr:rowOff>
    </xdr:from>
    <xdr:to>
      <xdr:col>10</xdr:col>
      <xdr:colOff>0</xdr:colOff>
      <xdr:row>0</xdr:row>
      <xdr:rowOff>161925</xdr:rowOff>
    </xdr:to>
    <xdr:sp macro="" textlink="">
      <xdr:nvSpPr>
        <xdr:cNvPr id="45" name="テキスト 69">
          <a:extLst>
            <a:ext uri="{FF2B5EF4-FFF2-40B4-BE49-F238E27FC236}">
              <a16:creationId xmlns:a16="http://schemas.microsoft.com/office/drawing/2014/main" id="{E5C6475C-5F00-4549-8A0C-DFAE24A6A33D}"/>
            </a:ext>
          </a:extLst>
        </xdr:cNvPr>
        <xdr:cNvSpPr txBox="1">
          <a:spLocks noChangeArrowheads="1"/>
        </xdr:cNvSpPr>
      </xdr:nvSpPr>
      <xdr:spPr bwMode="auto">
        <a:xfrm>
          <a:off x="3990975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</a:p>
      </xdr:txBody>
    </xdr:sp>
    <xdr:clientData/>
  </xdr:twoCellAnchor>
  <xdr:twoCellAnchor>
    <xdr:from>
      <xdr:col>16</xdr:col>
      <xdr:colOff>0</xdr:colOff>
      <xdr:row>37</xdr:row>
      <xdr:rowOff>0</xdr:rowOff>
    </xdr:from>
    <xdr:to>
      <xdr:col>16</xdr:col>
      <xdr:colOff>0</xdr:colOff>
      <xdr:row>37</xdr:row>
      <xdr:rowOff>0</xdr:rowOff>
    </xdr:to>
    <xdr:sp macro="" textlink="">
      <xdr:nvSpPr>
        <xdr:cNvPr id="49" name="Rectangle 12">
          <a:extLst>
            <a:ext uri="{FF2B5EF4-FFF2-40B4-BE49-F238E27FC236}">
              <a16:creationId xmlns:a16="http://schemas.microsoft.com/office/drawing/2014/main" id="{BC02EABD-56DF-4856-AB8D-70A5E3795E03}"/>
            </a:ext>
          </a:extLst>
        </xdr:cNvPr>
        <xdr:cNvSpPr>
          <a:spLocks noChangeArrowheads="1"/>
        </xdr:cNvSpPr>
      </xdr:nvSpPr>
      <xdr:spPr bwMode="auto">
        <a:xfrm>
          <a:off x="6115050" y="98298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37</xdr:row>
      <xdr:rowOff>0</xdr:rowOff>
    </xdr:from>
    <xdr:to>
      <xdr:col>16</xdr:col>
      <xdr:colOff>0</xdr:colOff>
      <xdr:row>37</xdr:row>
      <xdr:rowOff>0</xdr:rowOff>
    </xdr:to>
    <xdr:sp macro="" textlink="">
      <xdr:nvSpPr>
        <xdr:cNvPr id="50" name="Rectangle 13">
          <a:extLst>
            <a:ext uri="{FF2B5EF4-FFF2-40B4-BE49-F238E27FC236}">
              <a16:creationId xmlns:a16="http://schemas.microsoft.com/office/drawing/2014/main" id="{9BE5E73E-9206-46C0-AB8E-448134FFD54D}"/>
            </a:ext>
          </a:extLst>
        </xdr:cNvPr>
        <xdr:cNvSpPr>
          <a:spLocks noChangeArrowheads="1"/>
        </xdr:cNvSpPr>
      </xdr:nvSpPr>
      <xdr:spPr bwMode="auto">
        <a:xfrm>
          <a:off x="6115050" y="98298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37</xdr:row>
      <xdr:rowOff>0</xdr:rowOff>
    </xdr:from>
    <xdr:to>
      <xdr:col>16</xdr:col>
      <xdr:colOff>0</xdr:colOff>
      <xdr:row>37</xdr:row>
      <xdr:rowOff>0</xdr:rowOff>
    </xdr:to>
    <xdr:sp macro="" textlink="">
      <xdr:nvSpPr>
        <xdr:cNvPr id="51" name="Rectangle 14">
          <a:extLst>
            <a:ext uri="{FF2B5EF4-FFF2-40B4-BE49-F238E27FC236}">
              <a16:creationId xmlns:a16="http://schemas.microsoft.com/office/drawing/2014/main" id="{44D44B09-5C41-4356-BD4D-4D9FD0511215}"/>
            </a:ext>
          </a:extLst>
        </xdr:cNvPr>
        <xdr:cNvSpPr>
          <a:spLocks noChangeArrowheads="1"/>
        </xdr:cNvSpPr>
      </xdr:nvSpPr>
      <xdr:spPr bwMode="auto">
        <a:xfrm>
          <a:off x="6115050" y="98298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37</xdr:row>
      <xdr:rowOff>0</xdr:rowOff>
    </xdr:from>
    <xdr:to>
      <xdr:col>16</xdr:col>
      <xdr:colOff>0</xdr:colOff>
      <xdr:row>37</xdr:row>
      <xdr:rowOff>0</xdr:rowOff>
    </xdr:to>
    <xdr:sp macro="" textlink="">
      <xdr:nvSpPr>
        <xdr:cNvPr id="52" name="Rectangle 15">
          <a:extLst>
            <a:ext uri="{FF2B5EF4-FFF2-40B4-BE49-F238E27FC236}">
              <a16:creationId xmlns:a16="http://schemas.microsoft.com/office/drawing/2014/main" id="{24523CDC-F8E5-4CA7-9A8F-E629EF93384E}"/>
            </a:ext>
          </a:extLst>
        </xdr:cNvPr>
        <xdr:cNvSpPr>
          <a:spLocks noChangeArrowheads="1"/>
        </xdr:cNvSpPr>
      </xdr:nvSpPr>
      <xdr:spPr bwMode="auto">
        <a:xfrm>
          <a:off x="6115050" y="9829800"/>
          <a:ext cx="0" cy="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37</xdr:row>
      <xdr:rowOff>0</xdr:rowOff>
    </xdr:from>
    <xdr:to>
      <xdr:col>16</xdr:col>
      <xdr:colOff>0</xdr:colOff>
      <xdr:row>37</xdr:row>
      <xdr:rowOff>0</xdr:rowOff>
    </xdr:to>
    <xdr:sp macro="" textlink="">
      <xdr:nvSpPr>
        <xdr:cNvPr id="53" name="テキスト 56">
          <a:extLst>
            <a:ext uri="{FF2B5EF4-FFF2-40B4-BE49-F238E27FC236}">
              <a16:creationId xmlns:a16="http://schemas.microsoft.com/office/drawing/2014/main" id="{57E85ED9-91F8-4516-84E7-03B8133DA684}"/>
            </a:ext>
          </a:extLst>
        </xdr:cNvPr>
        <xdr:cNvSpPr txBox="1">
          <a:spLocks noChangeArrowheads="1"/>
        </xdr:cNvSpPr>
      </xdr:nvSpPr>
      <xdr:spPr bwMode="auto">
        <a:xfrm>
          <a:off x="6115050" y="982980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担当</a:t>
          </a:r>
        </a:p>
      </xdr:txBody>
    </xdr:sp>
    <xdr:clientData/>
  </xdr:twoCellAnchor>
  <xdr:twoCellAnchor>
    <xdr:from>
      <xdr:col>16</xdr:col>
      <xdr:colOff>0</xdr:colOff>
      <xdr:row>37</xdr:row>
      <xdr:rowOff>0</xdr:rowOff>
    </xdr:from>
    <xdr:to>
      <xdr:col>16</xdr:col>
      <xdr:colOff>0</xdr:colOff>
      <xdr:row>37</xdr:row>
      <xdr:rowOff>0</xdr:rowOff>
    </xdr:to>
    <xdr:sp macro="" textlink="">
      <xdr:nvSpPr>
        <xdr:cNvPr id="54" name="テキスト 57">
          <a:extLst>
            <a:ext uri="{FF2B5EF4-FFF2-40B4-BE49-F238E27FC236}">
              <a16:creationId xmlns:a16="http://schemas.microsoft.com/office/drawing/2014/main" id="{FB11C8C1-179E-44EE-9451-CB845E7D79D6}"/>
            </a:ext>
          </a:extLst>
        </xdr:cNvPr>
        <xdr:cNvSpPr txBox="1">
          <a:spLocks noChangeArrowheads="1"/>
        </xdr:cNvSpPr>
      </xdr:nvSpPr>
      <xdr:spPr bwMode="auto">
        <a:xfrm>
          <a:off x="6115050" y="9829800"/>
          <a:ext cx="0" cy="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処理</a:t>
          </a:r>
        </a:p>
      </xdr:txBody>
    </xdr:sp>
    <xdr:clientData/>
  </xdr:twoCellAnchor>
  <xdr:twoCellAnchor>
    <xdr:from>
      <xdr:col>16</xdr:col>
      <xdr:colOff>0</xdr:colOff>
      <xdr:row>0</xdr:row>
      <xdr:rowOff>38100</xdr:rowOff>
    </xdr:from>
    <xdr:to>
      <xdr:col>16</xdr:col>
      <xdr:colOff>0</xdr:colOff>
      <xdr:row>0</xdr:row>
      <xdr:rowOff>161925</xdr:rowOff>
    </xdr:to>
    <xdr:sp macro="" textlink="">
      <xdr:nvSpPr>
        <xdr:cNvPr id="55" name="テキスト 68">
          <a:extLst>
            <a:ext uri="{FF2B5EF4-FFF2-40B4-BE49-F238E27FC236}">
              <a16:creationId xmlns:a16="http://schemas.microsoft.com/office/drawing/2014/main" id="{C654185F-E927-4D6F-9E41-9917B7D41F4B}"/>
            </a:ext>
          </a:extLst>
        </xdr:cNvPr>
        <xdr:cNvSpPr txBox="1">
          <a:spLocks noChangeArrowheads="1"/>
        </xdr:cNvSpPr>
      </xdr:nvSpPr>
      <xdr:spPr bwMode="auto">
        <a:xfrm>
          <a:off x="6115050" y="38100"/>
          <a:ext cx="0" cy="1238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課長</a:t>
          </a:r>
        </a:p>
      </xdr:txBody>
    </xdr:sp>
    <xdr:clientData/>
  </xdr:twoCellAnchor>
  <xdr:twoCellAnchor>
    <xdr:from>
      <xdr:col>16</xdr:col>
      <xdr:colOff>0</xdr:colOff>
      <xdr:row>8</xdr:row>
      <xdr:rowOff>0</xdr:rowOff>
    </xdr:from>
    <xdr:to>
      <xdr:col>16</xdr:col>
      <xdr:colOff>0</xdr:colOff>
      <xdr:row>8</xdr:row>
      <xdr:rowOff>0</xdr:rowOff>
    </xdr:to>
    <xdr:sp macro="" textlink="">
      <xdr:nvSpPr>
        <xdr:cNvPr id="56" name="Oval 20">
          <a:extLst>
            <a:ext uri="{FF2B5EF4-FFF2-40B4-BE49-F238E27FC236}">
              <a16:creationId xmlns:a16="http://schemas.microsoft.com/office/drawing/2014/main" id="{71E65A98-3722-48AB-B410-5BA049438A23}"/>
            </a:ext>
          </a:extLst>
        </xdr:cNvPr>
        <xdr:cNvSpPr>
          <a:spLocks noChangeArrowheads="1"/>
        </xdr:cNvSpPr>
      </xdr:nvSpPr>
      <xdr:spPr bwMode="auto">
        <a:xfrm>
          <a:off x="6115050" y="12858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8</xdr:row>
      <xdr:rowOff>0</xdr:rowOff>
    </xdr:from>
    <xdr:to>
      <xdr:col>16</xdr:col>
      <xdr:colOff>0</xdr:colOff>
      <xdr:row>8</xdr:row>
      <xdr:rowOff>0</xdr:rowOff>
    </xdr:to>
    <xdr:sp macro="" textlink="">
      <xdr:nvSpPr>
        <xdr:cNvPr id="66" name="Oval 30">
          <a:extLst>
            <a:ext uri="{FF2B5EF4-FFF2-40B4-BE49-F238E27FC236}">
              <a16:creationId xmlns:a16="http://schemas.microsoft.com/office/drawing/2014/main" id="{C290C606-47CC-4F97-8A4F-129AEF2C1046}"/>
            </a:ext>
          </a:extLst>
        </xdr:cNvPr>
        <xdr:cNvSpPr>
          <a:spLocks noChangeArrowheads="1"/>
        </xdr:cNvSpPr>
      </xdr:nvSpPr>
      <xdr:spPr bwMode="auto">
        <a:xfrm>
          <a:off x="6115050" y="12858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0</xdr:colOff>
      <xdr:row>8</xdr:row>
      <xdr:rowOff>0</xdr:rowOff>
    </xdr:from>
    <xdr:to>
      <xdr:col>16</xdr:col>
      <xdr:colOff>0</xdr:colOff>
      <xdr:row>8</xdr:row>
      <xdr:rowOff>0</xdr:rowOff>
    </xdr:to>
    <xdr:sp macro="" textlink="">
      <xdr:nvSpPr>
        <xdr:cNvPr id="67" name="Oval 31">
          <a:extLst>
            <a:ext uri="{FF2B5EF4-FFF2-40B4-BE49-F238E27FC236}">
              <a16:creationId xmlns:a16="http://schemas.microsoft.com/office/drawing/2014/main" id="{5FB5DAC6-ACC7-46D9-94B2-626D11314868}"/>
            </a:ext>
          </a:extLst>
        </xdr:cNvPr>
        <xdr:cNvSpPr>
          <a:spLocks noChangeArrowheads="1"/>
        </xdr:cNvSpPr>
      </xdr:nvSpPr>
      <xdr:spPr bwMode="auto">
        <a:xfrm>
          <a:off x="6115050" y="12858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F2C35-48CC-4AEF-A46E-3162D9D93F68}">
  <dimension ref="A1:W46"/>
  <sheetViews>
    <sheetView showZeros="0" tabSelected="1" workbookViewId="0">
      <selection activeCell="Z11" sqref="Z11"/>
    </sheetView>
  </sheetViews>
  <sheetFormatPr defaultColWidth="4.375" defaultRowHeight="17.25" customHeight="1" x14ac:dyDescent="0.4"/>
  <cols>
    <col min="1" max="9" width="4.375" style="23"/>
    <col min="10" max="10" width="4.375" style="23" customWidth="1"/>
    <col min="11" max="17" width="4.375" style="23"/>
    <col min="18" max="19" width="4.375" style="23" customWidth="1"/>
    <col min="20" max="16384" width="4.375" style="23"/>
  </cols>
  <sheetData>
    <row r="1" spans="1:23" ht="17.25" customHeight="1" x14ac:dyDescent="0.35">
      <c r="A1" s="22"/>
      <c r="B1" s="26"/>
      <c r="C1" s="26"/>
      <c r="D1" s="26"/>
      <c r="F1" s="35"/>
      <c r="G1" s="69" t="s">
        <v>25</v>
      </c>
      <c r="H1" s="69"/>
      <c r="I1" s="69"/>
      <c r="J1" s="69"/>
      <c r="K1" s="69"/>
      <c r="L1" s="69"/>
      <c r="M1" s="69"/>
      <c r="N1" s="35"/>
      <c r="O1" s="35"/>
      <c r="P1" s="28"/>
      <c r="Q1" s="33"/>
      <c r="R1" s="33"/>
      <c r="S1" s="33"/>
    </row>
    <row r="2" spans="1:23" ht="17.25" customHeight="1" x14ac:dyDescent="0.35">
      <c r="A2" s="22"/>
      <c r="B2" s="26"/>
      <c r="C2" s="26"/>
      <c r="D2" s="26"/>
      <c r="F2" s="35"/>
      <c r="G2" s="69"/>
      <c r="H2" s="69"/>
      <c r="I2" s="69"/>
      <c r="J2" s="69"/>
      <c r="K2" s="69"/>
      <c r="L2" s="69"/>
      <c r="M2" s="69"/>
      <c r="N2" s="35"/>
      <c r="O2" s="35"/>
      <c r="P2" s="34"/>
      <c r="Q2" s="34"/>
      <c r="R2" s="34"/>
      <c r="S2" s="33"/>
      <c r="U2" s="64" t="s">
        <v>27</v>
      </c>
      <c r="V2" s="64"/>
      <c r="W2" s="64"/>
    </row>
    <row r="3" spans="1:23" ht="17.25" customHeight="1" x14ac:dyDescent="0.4">
      <c r="A3" s="27"/>
      <c r="B3" s="27"/>
      <c r="C3" s="27"/>
      <c r="D3" s="27"/>
      <c r="E3" s="35"/>
      <c r="F3" s="35"/>
      <c r="G3" s="35"/>
      <c r="H3" s="35"/>
      <c r="I3" s="35"/>
      <c r="J3" s="35"/>
      <c r="K3" s="35"/>
      <c r="L3" s="35"/>
      <c r="M3" s="35"/>
      <c r="N3" s="70" t="s">
        <v>13</v>
      </c>
      <c r="O3" s="70"/>
      <c r="P3" s="70"/>
      <c r="Q3" s="65">
        <f>HLOOKUP($U$3,入力シート!$D$5:$ZZ$91,3,FALSE)</f>
        <v>43824</v>
      </c>
      <c r="R3" s="65"/>
      <c r="S3" s="65"/>
      <c r="U3" s="66">
        <v>201912</v>
      </c>
      <c r="V3" s="67"/>
      <c r="W3" s="68"/>
    </row>
    <row r="4" spans="1:23" ht="17.25" customHeight="1" x14ac:dyDescent="0.35">
      <c r="A4" s="27"/>
      <c r="B4" s="27"/>
      <c r="C4" s="27"/>
      <c r="D4" s="27"/>
      <c r="E4" s="35"/>
      <c r="F4" s="35"/>
      <c r="G4" s="35"/>
      <c r="H4" s="35"/>
      <c r="I4" s="35"/>
      <c r="J4" s="35"/>
      <c r="K4" s="35"/>
      <c r="L4" s="35"/>
      <c r="M4" s="35"/>
      <c r="N4" s="37"/>
      <c r="O4" s="37"/>
      <c r="P4" s="37"/>
      <c r="Q4" s="32"/>
      <c r="R4" s="32"/>
      <c r="S4" s="32"/>
    </row>
    <row r="5" spans="1:23" ht="17.25" customHeight="1" x14ac:dyDescent="0.35">
      <c r="A5" s="123" t="s">
        <v>15</v>
      </c>
      <c r="B5" s="123"/>
      <c r="C5" s="123"/>
      <c r="D5" s="124" t="str">
        <f>入力シート!C2</f>
        <v>営業1部営業２課</v>
      </c>
      <c r="E5" s="124"/>
      <c r="F5" s="124"/>
      <c r="G5" s="124"/>
      <c r="H5" s="124"/>
      <c r="I5" s="7"/>
      <c r="J5" s="7"/>
      <c r="K5" s="22"/>
      <c r="L5" s="22"/>
      <c r="M5" s="22"/>
      <c r="N5" s="61"/>
      <c r="O5" s="61"/>
      <c r="P5" s="61"/>
      <c r="Q5" s="61"/>
      <c r="R5" s="61"/>
      <c r="S5" s="61"/>
    </row>
    <row r="6" spans="1:23" ht="17.25" customHeight="1" x14ac:dyDescent="0.4">
      <c r="A6" s="123" t="s">
        <v>16</v>
      </c>
      <c r="B6" s="123"/>
      <c r="C6" s="123"/>
      <c r="D6" s="126" t="str">
        <f>入力シート!C3</f>
        <v>営業　好太郎</v>
      </c>
      <c r="E6" s="126"/>
      <c r="F6" s="126"/>
      <c r="G6" s="126"/>
      <c r="H6" s="126"/>
      <c r="I6" s="7"/>
      <c r="J6" s="7"/>
      <c r="K6" s="29"/>
      <c r="L6" s="29"/>
      <c r="M6" s="30"/>
      <c r="N6" s="61"/>
      <c r="O6" s="61"/>
      <c r="P6" s="61"/>
      <c r="Q6" s="61"/>
      <c r="R6" s="61"/>
      <c r="S6" s="61"/>
    </row>
    <row r="7" spans="1:23" ht="17.25" customHeight="1" x14ac:dyDescent="0.4">
      <c r="A7" s="1"/>
      <c r="B7" s="1"/>
      <c r="C7" s="4"/>
      <c r="I7" s="4"/>
      <c r="J7" s="4"/>
      <c r="K7" s="30"/>
      <c r="L7" s="30"/>
      <c r="M7" s="30"/>
      <c r="N7" s="61"/>
      <c r="O7" s="61"/>
      <c r="P7" s="61"/>
      <c r="Q7" s="61"/>
      <c r="R7" s="61"/>
      <c r="S7" s="61"/>
    </row>
    <row r="8" spans="1:23" ht="17.25" customHeight="1" x14ac:dyDescent="0.4">
      <c r="A8" s="125" t="s">
        <v>14</v>
      </c>
      <c r="B8" s="125"/>
      <c r="C8" s="125"/>
      <c r="D8" s="125"/>
      <c r="E8" s="125"/>
      <c r="F8" s="125"/>
      <c r="G8" s="125"/>
      <c r="H8" s="125"/>
      <c r="I8" s="4"/>
      <c r="J8" s="4"/>
      <c r="K8" s="36"/>
      <c r="L8" s="36"/>
      <c r="M8" s="28"/>
      <c r="N8" s="61"/>
      <c r="O8" s="61"/>
      <c r="P8" s="61"/>
      <c r="Q8" s="61"/>
      <c r="R8" s="61"/>
      <c r="S8" s="61"/>
    </row>
    <row r="9" spans="1:23" ht="17.25" customHeight="1" x14ac:dyDescent="0.35">
      <c r="A9" s="22"/>
      <c r="B9" s="22"/>
      <c r="C9" s="22"/>
      <c r="D9" s="22"/>
      <c r="E9" s="22"/>
      <c r="F9" s="22"/>
      <c r="G9" s="22"/>
      <c r="H9" s="22"/>
      <c r="I9" s="22"/>
      <c r="J9" s="22"/>
      <c r="K9" s="31"/>
      <c r="L9" s="31"/>
      <c r="M9" s="32"/>
      <c r="N9" s="32"/>
      <c r="O9" s="32"/>
      <c r="P9" s="32"/>
      <c r="Q9" s="32"/>
      <c r="R9" s="32"/>
      <c r="S9" s="32"/>
    </row>
    <row r="10" spans="1:23" ht="17.25" customHeight="1" x14ac:dyDescent="0.4">
      <c r="A10" s="62" t="s">
        <v>21</v>
      </c>
      <c r="B10" s="63"/>
      <c r="C10" s="74">
        <f>HLOOKUP($U$3,入力シート!$D$5:$ZZ$91,4,FALSE)</f>
        <v>43800</v>
      </c>
      <c r="D10" s="75"/>
      <c r="E10" s="75"/>
      <c r="F10" s="75"/>
      <c r="G10" s="73" t="s">
        <v>22</v>
      </c>
      <c r="H10" s="73"/>
      <c r="I10" s="76">
        <f>HLOOKUP($U$3,入力シート!$D$5:$ZZ$91,5,FALSE)</f>
        <v>43824</v>
      </c>
      <c r="J10" s="76"/>
      <c r="K10" s="76"/>
      <c r="L10" s="76"/>
      <c r="M10" s="77" t="s">
        <v>38</v>
      </c>
      <c r="N10" s="76"/>
      <c r="O10" s="76"/>
      <c r="P10" s="78"/>
      <c r="Q10" s="71">
        <f>HLOOKUP($U$3,入力シート!$D$5:$ZZ$91,2,FALSE)</f>
        <v>30000</v>
      </c>
      <c r="R10" s="71"/>
      <c r="S10" s="72"/>
    </row>
    <row r="11" spans="1:23" ht="17.25" customHeight="1" x14ac:dyDescent="0.4">
      <c r="A11" s="62" t="s">
        <v>31</v>
      </c>
      <c r="B11" s="131"/>
      <c r="C11" s="82" t="s">
        <v>32</v>
      </c>
      <c r="D11" s="83"/>
      <c r="E11" s="83"/>
      <c r="F11" s="83"/>
      <c r="G11" s="83"/>
      <c r="H11" s="83"/>
      <c r="I11" s="83"/>
      <c r="J11" s="83"/>
      <c r="K11" s="83"/>
      <c r="L11" s="83"/>
      <c r="M11" s="84"/>
      <c r="N11" s="85" t="s">
        <v>23</v>
      </c>
      <c r="O11" s="85"/>
      <c r="P11" s="85"/>
      <c r="Q11" s="85" t="s">
        <v>24</v>
      </c>
      <c r="R11" s="85"/>
      <c r="S11" s="85"/>
    </row>
    <row r="12" spans="1:23" ht="17.25" customHeight="1" x14ac:dyDescent="0.4">
      <c r="A12" s="132">
        <f>HLOOKUP($U$3,入力シート!$D$5:$ZZ$91,6,FALSE)</f>
        <v>43800</v>
      </c>
      <c r="B12" s="133"/>
      <c r="C12" s="86" t="str">
        <f>HLOOKUP($U$3,入力シート!$D$5:$ZZ$91,7,FALSE)</f>
        <v>レターパック代</v>
      </c>
      <c r="D12" s="87"/>
      <c r="E12" s="87"/>
      <c r="F12" s="87"/>
      <c r="G12" s="87"/>
      <c r="H12" s="87"/>
      <c r="I12" s="87"/>
      <c r="J12" s="87"/>
      <c r="K12" s="87"/>
      <c r="L12" s="87"/>
      <c r="M12" s="88"/>
      <c r="N12" s="89">
        <f>HLOOKUP($U$3,入力シート!$D$5:$ZZ$91,8,FALSE)</f>
        <v>360</v>
      </c>
      <c r="O12" s="90"/>
      <c r="P12" s="91"/>
      <c r="Q12" s="89">
        <f>IF(N12=COUNTBLANK(N12), "", Q10-N12)</f>
        <v>29640</v>
      </c>
      <c r="R12" s="90"/>
      <c r="S12" s="91"/>
    </row>
    <row r="13" spans="1:23" ht="17.25" customHeight="1" x14ac:dyDescent="0.4">
      <c r="A13" s="127">
        <f>HLOOKUP($U$3,入力シート!$D$5:$ZZ$91,9,FALSE)</f>
        <v>43809</v>
      </c>
      <c r="B13" s="128"/>
      <c r="C13" s="92" t="str">
        <f>HLOOKUP($U$3,入力シート!$D$5:$ZZ$91,10,FALSE)</f>
        <v>収入印紙代</v>
      </c>
      <c r="D13" s="93"/>
      <c r="E13" s="93"/>
      <c r="F13" s="93"/>
      <c r="G13" s="93"/>
      <c r="H13" s="93"/>
      <c r="I13" s="93"/>
      <c r="J13" s="93"/>
      <c r="K13" s="93"/>
      <c r="L13" s="93"/>
      <c r="M13" s="94"/>
      <c r="N13" s="79">
        <f>HLOOKUP($U$3,入力シート!$D$5:$ZZ$91,11,FALSE)</f>
        <v>200</v>
      </c>
      <c r="O13" s="80"/>
      <c r="P13" s="81"/>
      <c r="Q13" s="79">
        <f>IF(N13=COUNTBLANK(N13), "", Q12-N13)</f>
        <v>29440</v>
      </c>
      <c r="R13" s="80"/>
      <c r="S13" s="81"/>
    </row>
    <row r="14" spans="1:23" ht="17.25" customHeight="1" x14ac:dyDescent="0.4">
      <c r="A14" s="129">
        <f>HLOOKUP($U$3,入力シート!$D$5:$ZZ$91,12,FALSE)</f>
        <v>43819</v>
      </c>
      <c r="B14" s="130"/>
      <c r="C14" s="95" t="str">
        <f>HLOOKUP($U$3,入力シート!$D$5:$ZZ$91,13,FALSE)</f>
        <v>清掃用品代</v>
      </c>
      <c r="D14" s="96"/>
      <c r="E14" s="96"/>
      <c r="F14" s="96"/>
      <c r="G14" s="96"/>
      <c r="H14" s="96"/>
      <c r="I14" s="96"/>
      <c r="J14" s="96"/>
      <c r="K14" s="96"/>
      <c r="L14" s="96"/>
      <c r="M14" s="97"/>
      <c r="N14" s="58">
        <f>HLOOKUP($U$3,入力シート!$D$5:$ZZ$91,14,FALSE)</f>
        <v>1000</v>
      </c>
      <c r="O14" s="59"/>
      <c r="P14" s="60"/>
      <c r="Q14" s="58">
        <f t="shared" ref="Q14:Q37" si="0">IF(N14=COUNTBLANK(N14), "", Q13-N14)</f>
        <v>28440</v>
      </c>
      <c r="R14" s="59"/>
      <c r="S14" s="60"/>
    </row>
    <row r="15" spans="1:23" ht="17.25" customHeight="1" x14ac:dyDescent="0.4">
      <c r="A15" s="127">
        <f>HLOOKUP($U$3,入力シート!$D$5:$ZZ$91,15,FALSE)</f>
        <v>0</v>
      </c>
      <c r="B15" s="128"/>
      <c r="C15" s="92">
        <f>HLOOKUP($U$3,入力シート!$D$5:$ZZ$91,16,FALSE)</f>
        <v>0</v>
      </c>
      <c r="D15" s="93"/>
      <c r="E15" s="93"/>
      <c r="F15" s="93"/>
      <c r="G15" s="93"/>
      <c r="H15" s="93"/>
      <c r="I15" s="93"/>
      <c r="J15" s="93"/>
      <c r="K15" s="93"/>
      <c r="L15" s="93"/>
      <c r="M15" s="94"/>
      <c r="N15" s="79">
        <f>HLOOKUP($U$3,入力シート!$D$5:$ZZ$91,17,FALSE)</f>
        <v>0</v>
      </c>
      <c r="O15" s="80"/>
      <c r="P15" s="81"/>
      <c r="Q15" s="79" t="str">
        <f t="shared" si="0"/>
        <v/>
      </c>
      <c r="R15" s="80"/>
      <c r="S15" s="81"/>
    </row>
    <row r="16" spans="1:23" ht="17.25" customHeight="1" x14ac:dyDescent="0.4">
      <c r="A16" s="129">
        <f>HLOOKUP($U$3,入力シート!$D$5:$ZZ$91,18,FALSE)</f>
        <v>0</v>
      </c>
      <c r="B16" s="130"/>
      <c r="C16" s="95">
        <f>HLOOKUP($U$3,入力シート!$D$5:$ZZ$91,19,FALSE)</f>
        <v>0</v>
      </c>
      <c r="D16" s="96"/>
      <c r="E16" s="96"/>
      <c r="F16" s="96"/>
      <c r="G16" s="96"/>
      <c r="H16" s="96"/>
      <c r="I16" s="96"/>
      <c r="J16" s="96"/>
      <c r="K16" s="96"/>
      <c r="L16" s="96"/>
      <c r="M16" s="97"/>
      <c r="N16" s="58">
        <f>HLOOKUP($U$3,入力シート!$D$5:$ZZ$91,20,FALSE)</f>
        <v>0</v>
      </c>
      <c r="O16" s="59"/>
      <c r="P16" s="60"/>
      <c r="Q16" s="58" t="str">
        <f t="shared" si="0"/>
        <v/>
      </c>
      <c r="R16" s="59"/>
      <c r="S16" s="60"/>
    </row>
    <row r="17" spans="1:19" ht="17.25" customHeight="1" x14ac:dyDescent="0.4">
      <c r="A17" s="127">
        <f>HLOOKUP($U$3,入力シート!$D$5:$ZZ$91,21,FALSE)</f>
        <v>0</v>
      </c>
      <c r="B17" s="128"/>
      <c r="C17" s="92">
        <f>HLOOKUP($U$3,入力シート!$D$5:$ZZ$91,22,FALSE)</f>
        <v>0</v>
      </c>
      <c r="D17" s="93"/>
      <c r="E17" s="93"/>
      <c r="F17" s="93"/>
      <c r="G17" s="93"/>
      <c r="H17" s="93"/>
      <c r="I17" s="93"/>
      <c r="J17" s="93"/>
      <c r="K17" s="93"/>
      <c r="L17" s="93"/>
      <c r="M17" s="94"/>
      <c r="N17" s="79">
        <f>HLOOKUP($U$3,入力シート!$D$5:$ZZ$91,23,FALSE)</f>
        <v>0</v>
      </c>
      <c r="O17" s="80"/>
      <c r="P17" s="81"/>
      <c r="Q17" s="79" t="str">
        <f t="shared" si="0"/>
        <v/>
      </c>
      <c r="R17" s="80"/>
      <c r="S17" s="81"/>
    </row>
    <row r="18" spans="1:19" ht="17.25" customHeight="1" x14ac:dyDescent="0.4">
      <c r="A18" s="129">
        <f>HLOOKUP($U$3,入力シート!$D$5:$ZZ$91,24,FALSE)</f>
        <v>0</v>
      </c>
      <c r="B18" s="130"/>
      <c r="C18" s="95">
        <f>HLOOKUP($U$3,入力シート!$D$5:$ZZ$91,25,FALSE)</f>
        <v>0</v>
      </c>
      <c r="D18" s="96"/>
      <c r="E18" s="96"/>
      <c r="F18" s="96"/>
      <c r="G18" s="96"/>
      <c r="H18" s="96"/>
      <c r="I18" s="96"/>
      <c r="J18" s="96"/>
      <c r="K18" s="96"/>
      <c r="L18" s="96"/>
      <c r="M18" s="97"/>
      <c r="N18" s="58">
        <f>HLOOKUP($U$3,入力シート!$D$5:$ZZ$91,26,FALSE)</f>
        <v>0</v>
      </c>
      <c r="O18" s="59"/>
      <c r="P18" s="60"/>
      <c r="Q18" s="58" t="str">
        <f t="shared" si="0"/>
        <v/>
      </c>
      <c r="R18" s="59"/>
      <c r="S18" s="60"/>
    </row>
    <row r="19" spans="1:19" ht="17.25" customHeight="1" x14ac:dyDescent="0.4">
      <c r="A19" s="127">
        <f>HLOOKUP($U$3,入力シート!$D$5:$ZZ$91,27,FALSE)</f>
        <v>0</v>
      </c>
      <c r="B19" s="128"/>
      <c r="C19" s="92">
        <f>HLOOKUP($U$3,入力シート!$D$5:$ZZ$91,28,FALSE)</f>
        <v>0</v>
      </c>
      <c r="D19" s="93"/>
      <c r="E19" s="93"/>
      <c r="F19" s="93"/>
      <c r="G19" s="93"/>
      <c r="H19" s="93"/>
      <c r="I19" s="93"/>
      <c r="J19" s="93"/>
      <c r="K19" s="93"/>
      <c r="L19" s="93"/>
      <c r="M19" s="94"/>
      <c r="N19" s="79">
        <f>HLOOKUP($U$3,入力シート!$D$5:$ZZ$91,29,FALSE)</f>
        <v>0</v>
      </c>
      <c r="O19" s="80"/>
      <c r="P19" s="81"/>
      <c r="Q19" s="79" t="str">
        <f t="shared" si="0"/>
        <v/>
      </c>
      <c r="R19" s="80"/>
      <c r="S19" s="81"/>
    </row>
    <row r="20" spans="1:19" ht="17.25" customHeight="1" x14ac:dyDescent="0.4">
      <c r="A20" s="129">
        <f>HLOOKUP($U$3,入力シート!$D$5:$ZZ$91,30,FALSE)</f>
        <v>0</v>
      </c>
      <c r="B20" s="130"/>
      <c r="C20" s="95">
        <f>HLOOKUP($U$3,入力シート!$D$5:$ZZ$91,31,FALSE)</f>
        <v>0</v>
      </c>
      <c r="D20" s="96"/>
      <c r="E20" s="96"/>
      <c r="F20" s="96"/>
      <c r="G20" s="96"/>
      <c r="H20" s="96"/>
      <c r="I20" s="96"/>
      <c r="J20" s="96"/>
      <c r="K20" s="96"/>
      <c r="L20" s="96"/>
      <c r="M20" s="97"/>
      <c r="N20" s="58">
        <f>HLOOKUP($U$3,入力シート!$D$5:$ZZ$91,32,FALSE)</f>
        <v>0</v>
      </c>
      <c r="O20" s="59"/>
      <c r="P20" s="60"/>
      <c r="Q20" s="58" t="str">
        <f t="shared" si="0"/>
        <v/>
      </c>
      <c r="R20" s="59"/>
      <c r="S20" s="60"/>
    </row>
    <row r="21" spans="1:19" ht="17.25" customHeight="1" x14ac:dyDescent="0.4">
      <c r="A21" s="127">
        <f>HLOOKUP($U$3,入力シート!$D$5:$ZZ$91,33,FALSE)</f>
        <v>0</v>
      </c>
      <c r="B21" s="128"/>
      <c r="C21" s="92">
        <f>HLOOKUP($U$3,入力シート!$D$5:$ZZ$91,34,FALSE)</f>
        <v>0</v>
      </c>
      <c r="D21" s="93"/>
      <c r="E21" s="93"/>
      <c r="F21" s="93"/>
      <c r="G21" s="93"/>
      <c r="H21" s="93"/>
      <c r="I21" s="93"/>
      <c r="J21" s="93"/>
      <c r="K21" s="93"/>
      <c r="L21" s="93"/>
      <c r="M21" s="94"/>
      <c r="N21" s="79">
        <f>HLOOKUP($U$3,入力シート!$D$5:$ZZ$91,35,FALSE)</f>
        <v>0</v>
      </c>
      <c r="O21" s="80"/>
      <c r="P21" s="81"/>
      <c r="Q21" s="79" t="str">
        <f t="shared" si="0"/>
        <v/>
      </c>
      <c r="R21" s="80"/>
      <c r="S21" s="81"/>
    </row>
    <row r="22" spans="1:19" ht="17.25" customHeight="1" x14ac:dyDescent="0.4">
      <c r="A22" s="129">
        <f>HLOOKUP($U$3,入力シート!$D$5:$ZZ$91,36,FALSE)</f>
        <v>0</v>
      </c>
      <c r="B22" s="130"/>
      <c r="C22" s="95">
        <f>HLOOKUP($U$3,入力シート!$D$5:$ZZ$91,37,FALSE)</f>
        <v>0</v>
      </c>
      <c r="D22" s="96"/>
      <c r="E22" s="96"/>
      <c r="F22" s="96"/>
      <c r="G22" s="96"/>
      <c r="H22" s="96"/>
      <c r="I22" s="96"/>
      <c r="J22" s="96"/>
      <c r="K22" s="96"/>
      <c r="L22" s="96"/>
      <c r="M22" s="97"/>
      <c r="N22" s="58">
        <f>HLOOKUP($U$3,入力シート!$D$5:$ZZ$91,38,FALSE)</f>
        <v>0</v>
      </c>
      <c r="O22" s="59"/>
      <c r="P22" s="60"/>
      <c r="Q22" s="58" t="str">
        <f t="shared" si="0"/>
        <v/>
      </c>
      <c r="R22" s="59"/>
      <c r="S22" s="60"/>
    </row>
    <row r="23" spans="1:19" ht="17.25" customHeight="1" x14ac:dyDescent="0.4">
      <c r="A23" s="127">
        <f>HLOOKUP($U$3,入力シート!$D$5:$ZZ$91,39,FALSE)</f>
        <v>0</v>
      </c>
      <c r="B23" s="128"/>
      <c r="C23" s="92">
        <f>HLOOKUP($U$3,入力シート!$D$5:$ZZ$91,40,FALSE)</f>
        <v>0</v>
      </c>
      <c r="D23" s="93"/>
      <c r="E23" s="93"/>
      <c r="F23" s="93"/>
      <c r="G23" s="93"/>
      <c r="H23" s="93"/>
      <c r="I23" s="93"/>
      <c r="J23" s="93"/>
      <c r="K23" s="93"/>
      <c r="L23" s="93"/>
      <c r="M23" s="94"/>
      <c r="N23" s="79">
        <f>HLOOKUP($U$3,入力シート!$D$5:$ZZ$91,41,FALSE)</f>
        <v>0</v>
      </c>
      <c r="O23" s="80"/>
      <c r="P23" s="81"/>
      <c r="Q23" s="79" t="str">
        <f t="shared" si="0"/>
        <v/>
      </c>
      <c r="R23" s="80"/>
      <c r="S23" s="81"/>
    </row>
    <row r="24" spans="1:19" ht="17.25" customHeight="1" x14ac:dyDescent="0.4">
      <c r="A24" s="129">
        <f>HLOOKUP($U$3,入力シート!$D$5:$ZZ$91,42,FALSE)</f>
        <v>0</v>
      </c>
      <c r="B24" s="130"/>
      <c r="C24" s="95">
        <f>HLOOKUP($U$3,入力シート!$D$5:$ZZ$91,43,FALSE)</f>
        <v>0</v>
      </c>
      <c r="D24" s="96"/>
      <c r="E24" s="96"/>
      <c r="F24" s="96"/>
      <c r="G24" s="96"/>
      <c r="H24" s="96"/>
      <c r="I24" s="96"/>
      <c r="J24" s="96"/>
      <c r="K24" s="96"/>
      <c r="L24" s="96"/>
      <c r="M24" s="97"/>
      <c r="N24" s="58">
        <f>HLOOKUP($U$3,入力シート!$D$5:$ZZ$91,44,FALSE)</f>
        <v>0</v>
      </c>
      <c r="O24" s="59"/>
      <c r="P24" s="60"/>
      <c r="Q24" s="58" t="str">
        <f t="shared" si="0"/>
        <v/>
      </c>
      <c r="R24" s="59"/>
      <c r="S24" s="60"/>
    </row>
    <row r="25" spans="1:19" ht="17.25" customHeight="1" x14ac:dyDescent="0.4">
      <c r="A25" s="127">
        <f>HLOOKUP($U$3,入力シート!$D$5:$ZZ$91,45,FALSE)</f>
        <v>0</v>
      </c>
      <c r="B25" s="128"/>
      <c r="C25" s="92">
        <f>HLOOKUP($U$3,入力シート!$D$5:$ZZ$91,46,FALSE)</f>
        <v>0</v>
      </c>
      <c r="D25" s="93"/>
      <c r="E25" s="93"/>
      <c r="F25" s="93"/>
      <c r="G25" s="93"/>
      <c r="H25" s="93"/>
      <c r="I25" s="93"/>
      <c r="J25" s="93"/>
      <c r="K25" s="93"/>
      <c r="L25" s="93"/>
      <c r="M25" s="94"/>
      <c r="N25" s="79">
        <f>HLOOKUP($U$3,入力シート!$D$5:$ZZ$91,47,FALSE)</f>
        <v>0</v>
      </c>
      <c r="O25" s="80"/>
      <c r="P25" s="81"/>
      <c r="Q25" s="79" t="str">
        <f t="shared" si="0"/>
        <v/>
      </c>
      <c r="R25" s="80"/>
      <c r="S25" s="81"/>
    </row>
    <row r="26" spans="1:19" ht="17.25" customHeight="1" x14ac:dyDescent="0.4">
      <c r="A26" s="129">
        <f>HLOOKUP($U$3,入力シート!$D$5:$ZZ$91,48,FALSE)</f>
        <v>0</v>
      </c>
      <c r="B26" s="130"/>
      <c r="C26" s="95">
        <f>HLOOKUP($U$3,入力シート!$D$5:$ZZ$91,49,FALSE)</f>
        <v>0</v>
      </c>
      <c r="D26" s="96"/>
      <c r="E26" s="96"/>
      <c r="F26" s="96"/>
      <c r="G26" s="96"/>
      <c r="H26" s="96"/>
      <c r="I26" s="96"/>
      <c r="J26" s="96"/>
      <c r="K26" s="96"/>
      <c r="L26" s="96"/>
      <c r="M26" s="97"/>
      <c r="N26" s="58">
        <f>HLOOKUP($U$3,入力シート!$D$5:$ZZ$91,50,FALSE)</f>
        <v>0</v>
      </c>
      <c r="O26" s="59"/>
      <c r="P26" s="60"/>
      <c r="Q26" s="58" t="str">
        <f t="shared" si="0"/>
        <v/>
      </c>
      <c r="R26" s="59"/>
      <c r="S26" s="60"/>
    </row>
    <row r="27" spans="1:19" ht="17.25" customHeight="1" x14ac:dyDescent="0.4">
      <c r="A27" s="127">
        <f>HLOOKUP($U$3,入力シート!$D$5:$ZZ$91,51,FALSE)</f>
        <v>0</v>
      </c>
      <c r="B27" s="128"/>
      <c r="C27" s="92">
        <f>HLOOKUP($U$3,入力シート!$D$5:$ZZ$91,52,FALSE)</f>
        <v>0</v>
      </c>
      <c r="D27" s="93"/>
      <c r="E27" s="93"/>
      <c r="F27" s="93"/>
      <c r="G27" s="93"/>
      <c r="H27" s="93"/>
      <c r="I27" s="93"/>
      <c r="J27" s="93"/>
      <c r="K27" s="93"/>
      <c r="L27" s="93"/>
      <c r="M27" s="94"/>
      <c r="N27" s="79">
        <f>HLOOKUP($U$3,入力シート!$D$5:$ZZ$91,53,FALSE)</f>
        <v>0</v>
      </c>
      <c r="O27" s="80"/>
      <c r="P27" s="81"/>
      <c r="Q27" s="79" t="str">
        <f t="shared" si="0"/>
        <v/>
      </c>
      <c r="R27" s="80"/>
      <c r="S27" s="81"/>
    </row>
    <row r="28" spans="1:19" ht="17.25" customHeight="1" x14ac:dyDescent="0.4">
      <c r="A28" s="129">
        <f>HLOOKUP($U$3,入力シート!$D$5:$ZZ$91,54,FALSE)</f>
        <v>0</v>
      </c>
      <c r="B28" s="130"/>
      <c r="C28" s="95">
        <f>HLOOKUP($U$3,入力シート!$D$5:$ZZ$91,55,FALSE)</f>
        <v>0</v>
      </c>
      <c r="D28" s="96"/>
      <c r="E28" s="96"/>
      <c r="F28" s="96"/>
      <c r="G28" s="96"/>
      <c r="H28" s="96"/>
      <c r="I28" s="96"/>
      <c r="J28" s="96"/>
      <c r="K28" s="96"/>
      <c r="L28" s="96"/>
      <c r="M28" s="97"/>
      <c r="N28" s="58">
        <f>HLOOKUP($U$3,入力シート!$D$5:$ZZ$91,56,FALSE)</f>
        <v>0</v>
      </c>
      <c r="O28" s="59"/>
      <c r="P28" s="60"/>
      <c r="Q28" s="58" t="str">
        <f t="shared" si="0"/>
        <v/>
      </c>
      <c r="R28" s="59"/>
      <c r="S28" s="60"/>
    </row>
    <row r="29" spans="1:19" ht="17.25" customHeight="1" x14ac:dyDescent="0.4">
      <c r="A29" s="127">
        <f>HLOOKUP($U$3,入力シート!$D$5:$ZZ$91,57,FALSE)</f>
        <v>0</v>
      </c>
      <c r="B29" s="128"/>
      <c r="C29" s="92">
        <f>HLOOKUP($U$3,入力シート!$D$5:$ZZ$91,58,FALSE)</f>
        <v>0</v>
      </c>
      <c r="D29" s="93"/>
      <c r="E29" s="93"/>
      <c r="F29" s="93"/>
      <c r="G29" s="93"/>
      <c r="H29" s="93"/>
      <c r="I29" s="93"/>
      <c r="J29" s="93"/>
      <c r="K29" s="93"/>
      <c r="L29" s="93"/>
      <c r="M29" s="94"/>
      <c r="N29" s="79">
        <f>HLOOKUP($U$3,入力シート!$D$5:$ZZ$91,59,FALSE)</f>
        <v>0</v>
      </c>
      <c r="O29" s="80"/>
      <c r="P29" s="81"/>
      <c r="Q29" s="79" t="str">
        <f t="shared" si="0"/>
        <v/>
      </c>
      <c r="R29" s="80"/>
      <c r="S29" s="81"/>
    </row>
    <row r="30" spans="1:19" ht="17.25" customHeight="1" x14ac:dyDescent="0.4">
      <c r="A30" s="129">
        <f>HLOOKUP($U$3,入力シート!$D$5:$ZZ$91,60,FALSE)</f>
        <v>0</v>
      </c>
      <c r="B30" s="130"/>
      <c r="C30" s="95">
        <f>HLOOKUP($U$3,入力シート!$D$5:$ZZ$91,61,FALSE)</f>
        <v>0</v>
      </c>
      <c r="D30" s="96"/>
      <c r="E30" s="96"/>
      <c r="F30" s="96"/>
      <c r="G30" s="96"/>
      <c r="H30" s="96"/>
      <c r="I30" s="96"/>
      <c r="J30" s="96"/>
      <c r="K30" s="96"/>
      <c r="L30" s="96"/>
      <c r="M30" s="97"/>
      <c r="N30" s="58">
        <f>HLOOKUP($U$3,入力シート!$D$5:$ZZ$91,62,FALSE)</f>
        <v>0</v>
      </c>
      <c r="O30" s="59"/>
      <c r="P30" s="60"/>
      <c r="Q30" s="58" t="str">
        <f t="shared" si="0"/>
        <v/>
      </c>
      <c r="R30" s="59"/>
      <c r="S30" s="60"/>
    </row>
    <row r="31" spans="1:19" ht="17.25" customHeight="1" x14ac:dyDescent="0.4">
      <c r="A31" s="127">
        <f>HLOOKUP($U$3,入力シート!$D$5:$ZZ$91,63,FALSE)</f>
        <v>0</v>
      </c>
      <c r="B31" s="128"/>
      <c r="C31" s="92">
        <f>HLOOKUP($U$3,入力シート!$D$5:$ZZ$91,64,FALSE)</f>
        <v>0</v>
      </c>
      <c r="D31" s="93"/>
      <c r="E31" s="93"/>
      <c r="F31" s="93"/>
      <c r="G31" s="93"/>
      <c r="H31" s="93"/>
      <c r="I31" s="93"/>
      <c r="J31" s="93"/>
      <c r="K31" s="93"/>
      <c r="L31" s="93"/>
      <c r="M31" s="94"/>
      <c r="N31" s="79">
        <f>HLOOKUP($U$3,入力シート!$D$5:$ZZ$91,65,FALSE)</f>
        <v>0</v>
      </c>
      <c r="O31" s="80"/>
      <c r="P31" s="81"/>
      <c r="Q31" s="79" t="str">
        <f t="shared" si="0"/>
        <v/>
      </c>
      <c r="R31" s="80"/>
      <c r="S31" s="81"/>
    </row>
    <row r="32" spans="1:19" ht="17.25" customHeight="1" x14ac:dyDescent="0.4">
      <c r="A32" s="129">
        <f>HLOOKUP($U$3,入力シート!$D$5:$ZZ$91,66,FALSE)</f>
        <v>0</v>
      </c>
      <c r="B32" s="130"/>
      <c r="C32" s="95">
        <f>HLOOKUP($U$3,入力シート!$D$5:$ZZ$91,67,FALSE)</f>
        <v>0</v>
      </c>
      <c r="D32" s="96"/>
      <c r="E32" s="96"/>
      <c r="F32" s="96"/>
      <c r="G32" s="96"/>
      <c r="H32" s="96"/>
      <c r="I32" s="96"/>
      <c r="J32" s="96"/>
      <c r="K32" s="96"/>
      <c r="L32" s="96"/>
      <c r="M32" s="97"/>
      <c r="N32" s="58">
        <f>HLOOKUP($U$3,入力シート!$D$5:$ZZ$91,68,FALSE)</f>
        <v>0</v>
      </c>
      <c r="O32" s="59"/>
      <c r="P32" s="60"/>
      <c r="Q32" s="58" t="str">
        <f t="shared" si="0"/>
        <v/>
      </c>
      <c r="R32" s="59"/>
      <c r="S32" s="60"/>
    </row>
    <row r="33" spans="1:19" ht="17.25" customHeight="1" x14ac:dyDescent="0.4">
      <c r="A33" s="127">
        <f>HLOOKUP($U$3,入力シート!$D$5:$ZZ$91,69,FALSE)</f>
        <v>0</v>
      </c>
      <c r="B33" s="128"/>
      <c r="C33" s="92">
        <f>HLOOKUP($U$3,入力シート!$D$5:$ZZ$91,70,FALSE)</f>
        <v>0</v>
      </c>
      <c r="D33" s="93"/>
      <c r="E33" s="93"/>
      <c r="F33" s="93"/>
      <c r="G33" s="93"/>
      <c r="H33" s="93"/>
      <c r="I33" s="93"/>
      <c r="J33" s="93"/>
      <c r="K33" s="93"/>
      <c r="L33" s="93"/>
      <c r="M33" s="94"/>
      <c r="N33" s="79">
        <f>HLOOKUP($U$3,入力シート!$D$5:$ZZ$91,71,FALSE)</f>
        <v>0</v>
      </c>
      <c r="O33" s="80"/>
      <c r="P33" s="81"/>
      <c r="Q33" s="79" t="str">
        <f t="shared" si="0"/>
        <v/>
      </c>
      <c r="R33" s="80"/>
      <c r="S33" s="81"/>
    </row>
    <row r="34" spans="1:19" ht="17.25" customHeight="1" x14ac:dyDescent="0.4">
      <c r="A34" s="129">
        <f>HLOOKUP($U$3,入力シート!$D$5:$ZZ$91,72,FALSE)</f>
        <v>0</v>
      </c>
      <c r="B34" s="130"/>
      <c r="C34" s="95">
        <f>HLOOKUP($U$3,入力シート!$D$5:$ZZ$91,73,FALSE)</f>
        <v>0</v>
      </c>
      <c r="D34" s="96"/>
      <c r="E34" s="96"/>
      <c r="F34" s="96"/>
      <c r="G34" s="96"/>
      <c r="H34" s="96"/>
      <c r="I34" s="96"/>
      <c r="J34" s="96"/>
      <c r="K34" s="96"/>
      <c r="L34" s="96"/>
      <c r="M34" s="97"/>
      <c r="N34" s="58">
        <f>HLOOKUP($U$3,入力シート!$D$5:$ZZ$91,74,FALSE)</f>
        <v>0</v>
      </c>
      <c r="O34" s="59"/>
      <c r="P34" s="60"/>
      <c r="Q34" s="58" t="str">
        <f t="shared" si="0"/>
        <v/>
      </c>
      <c r="R34" s="59"/>
      <c r="S34" s="60"/>
    </row>
    <row r="35" spans="1:19" ht="17.25" customHeight="1" x14ac:dyDescent="0.4">
      <c r="A35" s="127">
        <f>HLOOKUP($U$3,入力シート!$D$5:$ZZ$91,75,FALSE)</f>
        <v>0</v>
      </c>
      <c r="B35" s="128"/>
      <c r="C35" s="92">
        <f>HLOOKUP($U$3,入力シート!$D$5:$ZZ$91,76,FALSE)</f>
        <v>0</v>
      </c>
      <c r="D35" s="93"/>
      <c r="E35" s="93"/>
      <c r="F35" s="93"/>
      <c r="G35" s="93"/>
      <c r="H35" s="93"/>
      <c r="I35" s="93"/>
      <c r="J35" s="93"/>
      <c r="K35" s="93"/>
      <c r="L35" s="93"/>
      <c r="M35" s="94"/>
      <c r="N35" s="79">
        <f>HLOOKUP($U$3,入力シート!$D$5:$ZZ$91,77,FALSE)</f>
        <v>0</v>
      </c>
      <c r="O35" s="80"/>
      <c r="P35" s="81"/>
      <c r="Q35" s="79" t="str">
        <f t="shared" si="0"/>
        <v/>
      </c>
      <c r="R35" s="80"/>
      <c r="S35" s="81"/>
    </row>
    <row r="36" spans="1:19" ht="17.25" customHeight="1" x14ac:dyDescent="0.4">
      <c r="A36" s="129">
        <f>HLOOKUP($U$3,入力シート!$D$5:$ZZ$91,78,FALSE)</f>
        <v>0</v>
      </c>
      <c r="B36" s="130"/>
      <c r="C36" s="95">
        <f>HLOOKUP($U$3,入力シート!$D$5:$ZZ$91,79,FALSE)</f>
        <v>0</v>
      </c>
      <c r="D36" s="96"/>
      <c r="E36" s="96"/>
      <c r="F36" s="96"/>
      <c r="G36" s="96"/>
      <c r="H36" s="96"/>
      <c r="I36" s="96"/>
      <c r="J36" s="96"/>
      <c r="K36" s="96"/>
      <c r="L36" s="96"/>
      <c r="M36" s="97"/>
      <c r="N36" s="58">
        <f>HLOOKUP($U$3,入力シート!$D$5:$ZZ$91,80,FALSE)</f>
        <v>0</v>
      </c>
      <c r="O36" s="59"/>
      <c r="P36" s="60"/>
      <c r="Q36" s="58" t="str">
        <f t="shared" si="0"/>
        <v/>
      </c>
      <c r="R36" s="59"/>
      <c r="S36" s="60"/>
    </row>
    <row r="37" spans="1:19" ht="17.25" customHeight="1" thickBot="1" x14ac:dyDescent="0.45">
      <c r="A37" s="109">
        <f>HLOOKUP($U$3,入力シート!$D$5:$ZZ$91,81,FALSE)</f>
        <v>0</v>
      </c>
      <c r="B37" s="110"/>
      <c r="C37" s="111">
        <f>HLOOKUP($U$3,入力シート!$D$5:$ZZ$91,82,FALSE)</f>
        <v>0</v>
      </c>
      <c r="D37" s="112"/>
      <c r="E37" s="112"/>
      <c r="F37" s="112"/>
      <c r="G37" s="112"/>
      <c r="H37" s="112"/>
      <c r="I37" s="112"/>
      <c r="J37" s="112"/>
      <c r="K37" s="112"/>
      <c r="L37" s="112"/>
      <c r="M37" s="113"/>
      <c r="N37" s="79">
        <f>HLOOKUP($U$3,入力シート!$D$5:$ZZ$91,83,FALSE)</f>
        <v>0</v>
      </c>
      <c r="O37" s="80"/>
      <c r="P37" s="81"/>
      <c r="Q37" s="114" t="str">
        <f t="shared" si="0"/>
        <v/>
      </c>
      <c r="R37" s="115"/>
      <c r="S37" s="116"/>
    </row>
    <row r="38" spans="1:19" ht="17.25" customHeight="1" thickBot="1" x14ac:dyDescent="0.45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121" t="s">
        <v>26</v>
      </c>
      <c r="L38" s="121"/>
      <c r="M38" s="122"/>
      <c r="N38" s="117">
        <f>SUM(N12:P37)</f>
        <v>1560</v>
      </c>
      <c r="O38" s="118"/>
      <c r="P38" s="118"/>
      <c r="Q38" s="117">
        <f>Q10-N38</f>
        <v>28440</v>
      </c>
      <c r="R38" s="119"/>
      <c r="S38" s="120"/>
    </row>
    <row r="39" spans="1:19" ht="17.25" customHeight="1" x14ac:dyDescent="0.4">
      <c r="A39" s="38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5"/>
    </row>
    <row r="40" spans="1:19" ht="17.25" customHeight="1" x14ac:dyDescent="0.4">
      <c r="A40" s="105" t="s">
        <v>12</v>
      </c>
      <c r="B40" s="105"/>
      <c r="C40" s="105"/>
      <c r="D40" s="2"/>
      <c r="E40" s="2"/>
      <c r="F40" s="2"/>
      <c r="G40" s="2"/>
      <c r="H40" s="2"/>
      <c r="I40" s="2"/>
      <c r="J40" s="2"/>
      <c r="K40" s="2"/>
      <c r="L40" s="2"/>
      <c r="M40" s="3"/>
      <c r="N40" s="3"/>
      <c r="O40" s="3"/>
      <c r="P40" s="3"/>
      <c r="Q40" s="3"/>
      <c r="R40" s="3"/>
      <c r="S40" s="1"/>
    </row>
    <row r="41" spans="1:19" ht="17.25" customHeight="1" x14ac:dyDescent="0.4">
      <c r="A41" s="106">
        <f>HLOOKUP($U$3,入力シート!$D$5:$ZZ$91,84,FALSE)</f>
        <v>0</v>
      </c>
      <c r="B41" s="107"/>
      <c r="C41" s="107"/>
      <c r="D41" s="107"/>
      <c r="E41" s="107"/>
      <c r="F41" s="107"/>
      <c r="G41" s="107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8"/>
    </row>
    <row r="42" spans="1:19" ht="17.25" customHeight="1" x14ac:dyDescent="0.4">
      <c r="A42" s="102">
        <f>HLOOKUP($U$3,入力シート!$D$5:$ZZ$91,85,FALSE)</f>
        <v>0</v>
      </c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4"/>
    </row>
    <row r="43" spans="1:19" ht="17.25" customHeight="1" x14ac:dyDescent="0.4">
      <c r="A43" s="102">
        <f>HLOOKUP($U$3,入力シート!$D$5:$ZZ$91,86,FALSE)</f>
        <v>0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4"/>
    </row>
    <row r="44" spans="1:19" ht="17.25" customHeight="1" x14ac:dyDescent="0.4">
      <c r="A44" s="98">
        <f>HLOOKUP($U$3,入力シート!$D$5:$ZZ$91,87,FALSE)</f>
        <v>0</v>
      </c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100"/>
    </row>
    <row r="46" spans="1:19" ht="17.25" customHeight="1" x14ac:dyDescent="0.4">
      <c r="A46" s="101" t="s">
        <v>4</v>
      </c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</row>
  </sheetData>
  <mergeCells count="139">
    <mergeCell ref="A32:B32"/>
    <mergeCell ref="A33:B33"/>
    <mergeCell ref="A34:B34"/>
    <mergeCell ref="A35:B35"/>
    <mergeCell ref="A36:B36"/>
    <mergeCell ref="A23:B23"/>
    <mergeCell ref="A24:B24"/>
    <mergeCell ref="A25:B25"/>
    <mergeCell ref="A26:B26"/>
    <mergeCell ref="A27:B27"/>
    <mergeCell ref="A28:B28"/>
    <mergeCell ref="A30:B30"/>
    <mergeCell ref="A31:B31"/>
    <mergeCell ref="A29:B29"/>
    <mergeCell ref="A17:B17"/>
    <mergeCell ref="A18:B18"/>
    <mergeCell ref="A19:B19"/>
    <mergeCell ref="A20:B20"/>
    <mergeCell ref="A21:B21"/>
    <mergeCell ref="A22:B22"/>
    <mergeCell ref="A11:B11"/>
    <mergeCell ref="A12:B12"/>
    <mergeCell ref="A13:B13"/>
    <mergeCell ref="A14:B14"/>
    <mergeCell ref="A15:B15"/>
    <mergeCell ref="A16:B16"/>
    <mergeCell ref="C27:M27"/>
    <mergeCell ref="N27:P27"/>
    <mergeCell ref="A5:C5"/>
    <mergeCell ref="D5:H5"/>
    <mergeCell ref="A8:H8"/>
    <mergeCell ref="C34:M34"/>
    <mergeCell ref="N34:P34"/>
    <mergeCell ref="Q34:S34"/>
    <mergeCell ref="C35:M35"/>
    <mergeCell ref="A6:C6"/>
    <mergeCell ref="D6:H6"/>
    <mergeCell ref="Q27:S27"/>
    <mergeCell ref="C28:M28"/>
    <mergeCell ref="N28:P28"/>
    <mergeCell ref="Q28:S28"/>
    <mergeCell ref="C24:M24"/>
    <mergeCell ref="N24:P24"/>
    <mergeCell ref="Q24:S24"/>
    <mergeCell ref="C25:M25"/>
    <mergeCell ref="N25:P25"/>
    <mergeCell ref="Q25:S25"/>
    <mergeCell ref="Q21:S21"/>
    <mergeCell ref="C22:M22"/>
    <mergeCell ref="N22:P22"/>
    <mergeCell ref="C32:M32"/>
    <mergeCell ref="N32:P32"/>
    <mergeCell ref="Q32:S32"/>
    <mergeCell ref="C33:M33"/>
    <mergeCell ref="N33:P33"/>
    <mergeCell ref="Q33:S33"/>
    <mergeCell ref="C29:M29"/>
    <mergeCell ref="N29:P29"/>
    <mergeCell ref="Q29:S29"/>
    <mergeCell ref="C30:M30"/>
    <mergeCell ref="N30:P30"/>
    <mergeCell ref="Q30:S30"/>
    <mergeCell ref="C31:M31"/>
    <mergeCell ref="N31:P31"/>
    <mergeCell ref="Q31:S31"/>
    <mergeCell ref="C20:M20"/>
    <mergeCell ref="N20:P20"/>
    <mergeCell ref="Q20:S20"/>
    <mergeCell ref="N26:P26"/>
    <mergeCell ref="C21:M21"/>
    <mergeCell ref="N21:P21"/>
    <mergeCell ref="C18:M18"/>
    <mergeCell ref="N18:P18"/>
    <mergeCell ref="C15:M15"/>
    <mergeCell ref="A46:S46"/>
    <mergeCell ref="A43:S43"/>
    <mergeCell ref="A40:C40"/>
    <mergeCell ref="A41:S41"/>
    <mergeCell ref="A42:S42"/>
    <mergeCell ref="A37:B37"/>
    <mergeCell ref="N35:P35"/>
    <mergeCell ref="Q35:S35"/>
    <mergeCell ref="C36:M36"/>
    <mergeCell ref="N36:P36"/>
    <mergeCell ref="Q36:S36"/>
    <mergeCell ref="C37:M37"/>
    <mergeCell ref="N37:P37"/>
    <mergeCell ref="Q37:S37"/>
    <mergeCell ref="N38:P38"/>
    <mergeCell ref="Q38:S38"/>
    <mergeCell ref="K38:M38"/>
    <mergeCell ref="N12:P12"/>
    <mergeCell ref="Q12:S12"/>
    <mergeCell ref="C13:M13"/>
    <mergeCell ref="N13:P13"/>
    <mergeCell ref="Q13:S13"/>
    <mergeCell ref="C14:M14"/>
    <mergeCell ref="N14:P14"/>
    <mergeCell ref="Q14:S14"/>
    <mergeCell ref="A44:S44"/>
    <mergeCell ref="C26:M26"/>
    <mergeCell ref="Q15:S15"/>
    <mergeCell ref="C16:M16"/>
    <mergeCell ref="N16:P16"/>
    <mergeCell ref="Q16:S16"/>
    <mergeCell ref="C17:M17"/>
    <mergeCell ref="N17:P17"/>
    <mergeCell ref="Q17:S17"/>
    <mergeCell ref="C23:M23"/>
    <mergeCell ref="N23:P23"/>
    <mergeCell ref="Q23:S23"/>
    <mergeCell ref="Q18:S18"/>
    <mergeCell ref="C19:M19"/>
    <mergeCell ref="N19:P19"/>
    <mergeCell ref="Q19:S19"/>
    <mergeCell ref="Q26:S26"/>
    <mergeCell ref="Q22:S22"/>
    <mergeCell ref="R6:S8"/>
    <mergeCell ref="A10:B10"/>
    <mergeCell ref="U2:W2"/>
    <mergeCell ref="Q3:S3"/>
    <mergeCell ref="U3:W3"/>
    <mergeCell ref="N5:O5"/>
    <mergeCell ref="P5:Q5"/>
    <mergeCell ref="R5:S5"/>
    <mergeCell ref="G1:M2"/>
    <mergeCell ref="N3:P3"/>
    <mergeCell ref="Q10:S10"/>
    <mergeCell ref="G10:H10"/>
    <mergeCell ref="C10:F10"/>
    <mergeCell ref="I10:L10"/>
    <mergeCell ref="M10:P10"/>
    <mergeCell ref="N15:P15"/>
    <mergeCell ref="N6:O8"/>
    <mergeCell ref="P6:Q8"/>
    <mergeCell ref="C11:M11"/>
    <mergeCell ref="N11:P11"/>
    <mergeCell ref="Q11:S11"/>
    <mergeCell ref="C12:M12"/>
  </mergeCells>
  <phoneticPr fontId="1"/>
  <printOptions horizontalCentered="1" verticalCentered="1"/>
  <pageMargins left="0.43307086614173229" right="0.43307086614173229" top="0.35433070866141736" bottom="0.35433070866141736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52BE6-78B6-48D4-84E2-39C24D0564E2}">
  <dimension ref="A2:AB91"/>
  <sheetViews>
    <sheetView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G3" sqref="G3"/>
    </sheetView>
  </sheetViews>
  <sheetFormatPr defaultColWidth="11.375" defaultRowHeight="12.75" x14ac:dyDescent="0.4"/>
  <cols>
    <col min="1" max="2" width="5" style="9" customWidth="1"/>
    <col min="3" max="3" width="15" style="9" customWidth="1"/>
    <col min="4" max="27" width="17.125" style="9" customWidth="1"/>
    <col min="28" max="28" width="11.375" style="10"/>
    <col min="29" max="16384" width="11.375" style="9"/>
  </cols>
  <sheetData>
    <row r="2" spans="1:28" x14ac:dyDescent="0.4">
      <c r="A2" s="138" t="s">
        <v>2</v>
      </c>
      <c r="B2" s="139"/>
      <c r="C2" s="8" t="s">
        <v>10</v>
      </c>
      <c r="D2" s="141"/>
      <c r="E2" s="141"/>
    </row>
    <row r="3" spans="1:28" x14ac:dyDescent="0.4">
      <c r="A3" s="138" t="s">
        <v>1</v>
      </c>
      <c r="B3" s="139"/>
      <c r="C3" s="8" t="s">
        <v>11</v>
      </c>
      <c r="D3" s="141"/>
      <c r="E3" s="141"/>
    </row>
    <row r="4" spans="1:28" x14ac:dyDescent="0.4">
      <c r="D4" s="11" t="s">
        <v>3</v>
      </c>
    </row>
    <row r="5" spans="1:28" x14ac:dyDescent="0.4">
      <c r="A5" s="10">
        <v>1</v>
      </c>
      <c r="B5" s="12"/>
      <c r="C5" s="13" t="s">
        <v>30</v>
      </c>
      <c r="D5" s="14">
        <v>201910</v>
      </c>
      <c r="E5" s="14">
        <v>201911</v>
      </c>
      <c r="F5" s="14">
        <v>201912</v>
      </c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</row>
    <row r="6" spans="1:28" s="49" customFormat="1" x14ac:dyDescent="0.4">
      <c r="A6" s="47">
        <v>2</v>
      </c>
      <c r="B6" s="48"/>
      <c r="C6" s="50" t="s">
        <v>40</v>
      </c>
      <c r="D6" s="51">
        <v>10000</v>
      </c>
      <c r="E6" s="51">
        <v>20000</v>
      </c>
      <c r="F6" s="51">
        <v>30000</v>
      </c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47"/>
    </row>
    <row r="7" spans="1:28" x14ac:dyDescent="0.4">
      <c r="A7" s="10">
        <v>3</v>
      </c>
      <c r="B7" s="136"/>
      <c r="C7" s="46" t="s">
        <v>0</v>
      </c>
      <c r="D7" s="53">
        <v>43769</v>
      </c>
      <c r="E7" s="53">
        <v>43799</v>
      </c>
      <c r="F7" s="53">
        <v>43824</v>
      </c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4"/>
    </row>
    <row r="8" spans="1:28" x14ac:dyDescent="0.4">
      <c r="A8" s="10">
        <v>4</v>
      </c>
      <c r="B8" s="136"/>
      <c r="C8" s="42" t="s">
        <v>28</v>
      </c>
      <c r="D8" s="52">
        <v>43739</v>
      </c>
      <c r="E8" s="52">
        <v>43770</v>
      </c>
      <c r="F8" s="52">
        <v>43800</v>
      </c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5"/>
    </row>
    <row r="9" spans="1:28" x14ac:dyDescent="0.4">
      <c r="A9" s="10">
        <v>5</v>
      </c>
      <c r="B9" s="137"/>
      <c r="C9" s="43" t="s">
        <v>29</v>
      </c>
      <c r="D9" s="56">
        <v>43769</v>
      </c>
      <c r="E9" s="56">
        <v>43799</v>
      </c>
      <c r="F9" s="56">
        <v>43824</v>
      </c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7"/>
    </row>
    <row r="10" spans="1:28" x14ac:dyDescent="0.4">
      <c r="A10" s="10">
        <v>6</v>
      </c>
      <c r="B10" s="140">
        <v>1</v>
      </c>
      <c r="C10" s="15" t="s">
        <v>33</v>
      </c>
      <c r="D10" s="16">
        <v>43739</v>
      </c>
      <c r="E10" s="16">
        <v>43770</v>
      </c>
      <c r="F10" s="16">
        <v>43800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7"/>
    </row>
    <row r="11" spans="1:28" x14ac:dyDescent="0.4">
      <c r="A11" s="10">
        <v>7</v>
      </c>
      <c r="B11" s="140"/>
      <c r="C11" s="18" t="s">
        <v>34</v>
      </c>
      <c r="D11" s="18" t="s">
        <v>35</v>
      </c>
      <c r="E11" s="18" t="s">
        <v>35</v>
      </c>
      <c r="F11" s="18" t="s">
        <v>35</v>
      </c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9"/>
    </row>
    <row r="12" spans="1:28" x14ac:dyDescent="0.4">
      <c r="A12" s="10">
        <v>8</v>
      </c>
      <c r="B12" s="140"/>
      <c r="C12" s="44" t="s">
        <v>41</v>
      </c>
      <c r="D12" s="44">
        <v>360</v>
      </c>
      <c r="E12" s="44">
        <v>360</v>
      </c>
      <c r="F12" s="44">
        <v>360</v>
      </c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5"/>
    </row>
    <row r="13" spans="1:28" x14ac:dyDescent="0.4">
      <c r="A13" s="10">
        <v>9</v>
      </c>
      <c r="B13" s="140">
        <v>2</v>
      </c>
      <c r="C13" s="15" t="s">
        <v>33</v>
      </c>
      <c r="D13" s="16">
        <v>43740</v>
      </c>
      <c r="E13" s="16">
        <v>43771</v>
      </c>
      <c r="F13" s="16">
        <v>43809</v>
      </c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7"/>
    </row>
    <row r="14" spans="1:28" x14ac:dyDescent="0.4">
      <c r="A14" s="10">
        <v>10</v>
      </c>
      <c r="B14" s="140"/>
      <c r="C14" s="18" t="s">
        <v>34</v>
      </c>
      <c r="D14" s="18" t="s">
        <v>36</v>
      </c>
      <c r="E14" s="18" t="s">
        <v>36</v>
      </c>
      <c r="F14" s="18" t="s">
        <v>36</v>
      </c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9"/>
    </row>
    <row r="15" spans="1:28" x14ac:dyDescent="0.4">
      <c r="A15" s="10">
        <v>11</v>
      </c>
      <c r="B15" s="140"/>
      <c r="C15" s="44" t="s">
        <v>41</v>
      </c>
      <c r="D15" s="44">
        <v>200</v>
      </c>
      <c r="E15" s="44">
        <v>200</v>
      </c>
      <c r="F15" s="44">
        <v>200</v>
      </c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5"/>
    </row>
    <row r="16" spans="1:28" ht="12.75" customHeight="1" x14ac:dyDescent="0.4">
      <c r="A16" s="10">
        <v>12</v>
      </c>
      <c r="B16" s="140">
        <v>3</v>
      </c>
      <c r="C16" s="15" t="s">
        <v>33</v>
      </c>
      <c r="D16" s="16">
        <v>43741</v>
      </c>
      <c r="E16" s="16">
        <v>43772</v>
      </c>
      <c r="F16" s="16">
        <v>43819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7"/>
    </row>
    <row r="17" spans="1:27" x14ac:dyDescent="0.4">
      <c r="A17" s="10">
        <v>13</v>
      </c>
      <c r="B17" s="140"/>
      <c r="C17" s="18" t="s">
        <v>34</v>
      </c>
      <c r="D17" s="18" t="s">
        <v>37</v>
      </c>
      <c r="E17" s="18" t="s">
        <v>37</v>
      </c>
      <c r="F17" s="18" t="s">
        <v>37</v>
      </c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9"/>
    </row>
    <row r="18" spans="1:27" x14ac:dyDescent="0.4">
      <c r="A18" s="10">
        <v>14</v>
      </c>
      <c r="B18" s="140"/>
      <c r="C18" s="44" t="s">
        <v>41</v>
      </c>
      <c r="D18" s="44">
        <v>1000</v>
      </c>
      <c r="E18" s="44">
        <v>1000</v>
      </c>
      <c r="F18" s="44">
        <v>1000</v>
      </c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5"/>
    </row>
    <row r="19" spans="1:27" ht="12.75" customHeight="1" x14ac:dyDescent="0.4">
      <c r="A19" s="10">
        <v>15</v>
      </c>
      <c r="B19" s="140">
        <v>4</v>
      </c>
      <c r="C19" s="15" t="s">
        <v>33</v>
      </c>
      <c r="D19" s="16">
        <v>43743</v>
      </c>
      <c r="E19" s="16">
        <v>43774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7"/>
    </row>
    <row r="20" spans="1:27" x14ac:dyDescent="0.4">
      <c r="A20" s="10">
        <v>16</v>
      </c>
      <c r="B20" s="140"/>
      <c r="C20" s="18" t="s">
        <v>34</v>
      </c>
      <c r="D20" s="18" t="s">
        <v>35</v>
      </c>
      <c r="E20" s="18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9"/>
    </row>
    <row r="21" spans="1:27" x14ac:dyDescent="0.4">
      <c r="A21" s="10">
        <v>17</v>
      </c>
      <c r="B21" s="140"/>
      <c r="C21" s="44" t="s">
        <v>41</v>
      </c>
      <c r="D21" s="44">
        <v>360</v>
      </c>
      <c r="E21" s="44">
        <v>360</v>
      </c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5"/>
    </row>
    <row r="22" spans="1:27" ht="12.75" customHeight="1" x14ac:dyDescent="0.4">
      <c r="A22" s="10">
        <v>18</v>
      </c>
      <c r="B22" s="140">
        <v>5</v>
      </c>
      <c r="C22" s="15" t="s">
        <v>33</v>
      </c>
      <c r="D22" s="16">
        <v>43744</v>
      </c>
      <c r="E22" s="16">
        <v>43775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7"/>
    </row>
    <row r="23" spans="1:27" x14ac:dyDescent="0.4">
      <c r="A23" s="10">
        <v>19</v>
      </c>
      <c r="B23" s="140"/>
      <c r="C23" s="18" t="s">
        <v>34</v>
      </c>
      <c r="D23" s="18" t="s">
        <v>35</v>
      </c>
      <c r="E23" s="18" t="s">
        <v>35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9"/>
    </row>
    <row r="24" spans="1:27" x14ac:dyDescent="0.4">
      <c r="A24" s="10">
        <v>20</v>
      </c>
      <c r="B24" s="140"/>
      <c r="C24" s="44" t="s">
        <v>41</v>
      </c>
      <c r="D24" s="44">
        <v>360</v>
      </c>
      <c r="E24" s="44">
        <v>360</v>
      </c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5"/>
    </row>
    <row r="25" spans="1:27" ht="12.75" customHeight="1" x14ac:dyDescent="0.4">
      <c r="A25" s="10">
        <v>21</v>
      </c>
      <c r="B25" s="140">
        <v>6</v>
      </c>
      <c r="C25" s="15" t="s">
        <v>33</v>
      </c>
      <c r="D25" s="16">
        <v>43745</v>
      </c>
      <c r="E25" s="16">
        <v>43776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7"/>
    </row>
    <row r="26" spans="1:27" x14ac:dyDescent="0.4">
      <c r="A26" s="10">
        <v>22</v>
      </c>
      <c r="B26" s="140"/>
      <c r="C26" s="18" t="s">
        <v>34</v>
      </c>
      <c r="D26" s="18" t="s">
        <v>35</v>
      </c>
      <c r="E26" s="18" t="s">
        <v>35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9"/>
    </row>
    <row r="27" spans="1:27" x14ac:dyDescent="0.4">
      <c r="A27" s="10">
        <v>23</v>
      </c>
      <c r="B27" s="140"/>
      <c r="C27" s="44" t="s">
        <v>41</v>
      </c>
      <c r="D27" s="44">
        <v>360</v>
      </c>
      <c r="E27" s="44">
        <v>360</v>
      </c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5"/>
    </row>
    <row r="28" spans="1:27" ht="12.75" customHeight="1" x14ac:dyDescent="0.4">
      <c r="A28" s="10">
        <v>24</v>
      </c>
      <c r="B28" s="140">
        <v>7</v>
      </c>
      <c r="C28" s="15" t="s">
        <v>33</v>
      </c>
      <c r="D28" s="16">
        <v>43746</v>
      </c>
      <c r="E28" s="16">
        <v>43777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7"/>
    </row>
    <row r="29" spans="1:27" x14ac:dyDescent="0.4">
      <c r="A29" s="10">
        <v>25</v>
      </c>
      <c r="B29" s="140"/>
      <c r="C29" s="18" t="s">
        <v>34</v>
      </c>
      <c r="D29" s="18" t="s">
        <v>35</v>
      </c>
      <c r="E29" s="18" t="s">
        <v>35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9"/>
    </row>
    <row r="30" spans="1:27" x14ac:dyDescent="0.4">
      <c r="A30" s="10">
        <v>26</v>
      </c>
      <c r="B30" s="140"/>
      <c r="C30" s="44" t="s">
        <v>41</v>
      </c>
      <c r="D30" s="44">
        <v>360</v>
      </c>
      <c r="E30" s="44">
        <v>360</v>
      </c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5"/>
    </row>
    <row r="31" spans="1:27" ht="12.75" customHeight="1" x14ac:dyDescent="0.4">
      <c r="A31" s="10">
        <v>27</v>
      </c>
      <c r="B31" s="140">
        <v>8</v>
      </c>
      <c r="C31" s="15" t="s">
        <v>33</v>
      </c>
      <c r="D31" s="16">
        <v>43747</v>
      </c>
      <c r="E31" s="16">
        <v>43778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7"/>
    </row>
    <row r="32" spans="1:27" x14ac:dyDescent="0.4">
      <c r="A32" s="10">
        <v>28</v>
      </c>
      <c r="B32" s="140"/>
      <c r="C32" s="18" t="s">
        <v>34</v>
      </c>
      <c r="D32" s="18" t="s">
        <v>35</v>
      </c>
      <c r="E32" s="18" t="s">
        <v>35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9"/>
    </row>
    <row r="33" spans="1:27" x14ac:dyDescent="0.4">
      <c r="A33" s="10">
        <v>29</v>
      </c>
      <c r="B33" s="140"/>
      <c r="C33" s="44" t="s">
        <v>41</v>
      </c>
      <c r="D33" s="44">
        <v>360</v>
      </c>
      <c r="E33" s="44">
        <v>360</v>
      </c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5"/>
    </row>
    <row r="34" spans="1:27" ht="12.75" customHeight="1" x14ac:dyDescent="0.4">
      <c r="A34" s="10">
        <v>30</v>
      </c>
      <c r="B34" s="140">
        <v>9</v>
      </c>
      <c r="C34" s="15" t="s">
        <v>33</v>
      </c>
      <c r="D34" s="16">
        <v>43748</v>
      </c>
      <c r="E34" s="16">
        <v>43779</v>
      </c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7"/>
    </row>
    <row r="35" spans="1:27" x14ac:dyDescent="0.4">
      <c r="A35" s="10">
        <v>31</v>
      </c>
      <c r="B35" s="140"/>
      <c r="C35" s="18" t="s">
        <v>34</v>
      </c>
      <c r="D35" s="18" t="s">
        <v>35</v>
      </c>
      <c r="E35" s="18" t="s">
        <v>35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9"/>
    </row>
    <row r="36" spans="1:27" x14ac:dyDescent="0.4">
      <c r="A36" s="10">
        <v>32</v>
      </c>
      <c r="B36" s="140"/>
      <c r="C36" s="44" t="s">
        <v>41</v>
      </c>
      <c r="D36" s="44">
        <v>360</v>
      </c>
      <c r="E36" s="44">
        <v>360</v>
      </c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5"/>
    </row>
    <row r="37" spans="1:27" ht="12.75" customHeight="1" x14ac:dyDescent="0.4">
      <c r="A37" s="10">
        <v>33</v>
      </c>
      <c r="B37" s="140">
        <v>10</v>
      </c>
      <c r="C37" s="15" t="s">
        <v>33</v>
      </c>
      <c r="D37" s="16">
        <v>43749</v>
      </c>
      <c r="E37" s="16">
        <v>43780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7"/>
    </row>
    <row r="38" spans="1:27" x14ac:dyDescent="0.4">
      <c r="A38" s="10">
        <v>34</v>
      </c>
      <c r="B38" s="140"/>
      <c r="C38" s="18" t="s">
        <v>34</v>
      </c>
      <c r="D38" s="18" t="s">
        <v>35</v>
      </c>
      <c r="E38" s="18" t="s">
        <v>35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9"/>
    </row>
    <row r="39" spans="1:27" x14ac:dyDescent="0.4">
      <c r="A39" s="10">
        <v>35</v>
      </c>
      <c r="B39" s="140"/>
      <c r="C39" s="44" t="s">
        <v>41</v>
      </c>
      <c r="D39" s="44">
        <v>360</v>
      </c>
      <c r="E39" s="44">
        <v>360</v>
      </c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5"/>
    </row>
    <row r="40" spans="1:27" ht="12.75" customHeight="1" x14ac:dyDescent="0.4">
      <c r="A40" s="10">
        <v>36</v>
      </c>
      <c r="B40" s="140">
        <v>11</v>
      </c>
      <c r="C40" s="15" t="s">
        <v>33</v>
      </c>
      <c r="D40" s="16">
        <v>43750</v>
      </c>
      <c r="E40" s="16">
        <v>43781</v>
      </c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7"/>
    </row>
    <row r="41" spans="1:27" x14ac:dyDescent="0.4">
      <c r="A41" s="10">
        <v>37</v>
      </c>
      <c r="B41" s="140"/>
      <c r="C41" s="18" t="s">
        <v>34</v>
      </c>
      <c r="D41" s="18" t="s">
        <v>35</v>
      </c>
      <c r="E41" s="18" t="s">
        <v>35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9"/>
    </row>
    <row r="42" spans="1:27" x14ac:dyDescent="0.4">
      <c r="A42" s="10">
        <v>38</v>
      </c>
      <c r="B42" s="140"/>
      <c r="C42" s="44" t="s">
        <v>41</v>
      </c>
      <c r="D42" s="44">
        <v>360</v>
      </c>
      <c r="E42" s="44">
        <v>360</v>
      </c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5"/>
    </row>
    <row r="43" spans="1:27" ht="12.75" customHeight="1" x14ac:dyDescent="0.4">
      <c r="A43" s="10">
        <v>39</v>
      </c>
      <c r="B43" s="140">
        <v>12</v>
      </c>
      <c r="C43" s="15" t="s">
        <v>33</v>
      </c>
      <c r="D43" s="16">
        <v>43751</v>
      </c>
      <c r="E43" s="16">
        <v>43782</v>
      </c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7"/>
    </row>
    <row r="44" spans="1:27" x14ac:dyDescent="0.4">
      <c r="A44" s="10">
        <v>40</v>
      </c>
      <c r="B44" s="140"/>
      <c r="C44" s="18" t="s">
        <v>34</v>
      </c>
      <c r="D44" s="18" t="s">
        <v>35</v>
      </c>
      <c r="E44" s="18" t="s">
        <v>35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9"/>
    </row>
    <row r="45" spans="1:27" x14ac:dyDescent="0.4">
      <c r="A45" s="10">
        <v>41</v>
      </c>
      <c r="B45" s="140"/>
      <c r="C45" s="44" t="s">
        <v>41</v>
      </c>
      <c r="D45" s="44">
        <v>360</v>
      </c>
      <c r="E45" s="44">
        <v>360</v>
      </c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5"/>
    </row>
    <row r="46" spans="1:27" ht="12.75" customHeight="1" x14ac:dyDescent="0.4">
      <c r="A46" s="10">
        <v>42</v>
      </c>
      <c r="B46" s="140">
        <v>13</v>
      </c>
      <c r="C46" s="15" t="s">
        <v>33</v>
      </c>
      <c r="D46" s="16">
        <v>43752</v>
      </c>
      <c r="E46" s="16">
        <v>43783</v>
      </c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7"/>
    </row>
    <row r="47" spans="1:27" x14ac:dyDescent="0.4">
      <c r="A47" s="10">
        <v>43</v>
      </c>
      <c r="B47" s="140"/>
      <c r="C47" s="18" t="s">
        <v>34</v>
      </c>
      <c r="D47" s="18" t="s">
        <v>35</v>
      </c>
      <c r="E47" s="18" t="s">
        <v>35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9"/>
    </row>
    <row r="48" spans="1:27" x14ac:dyDescent="0.4">
      <c r="A48" s="10">
        <v>44</v>
      </c>
      <c r="B48" s="140"/>
      <c r="C48" s="44" t="s">
        <v>41</v>
      </c>
      <c r="D48" s="44">
        <v>360</v>
      </c>
      <c r="E48" s="44">
        <v>360</v>
      </c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5"/>
    </row>
    <row r="49" spans="1:27" ht="12.75" customHeight="1" x14ac:dyDescent="0.4">
      <c r="A49" s="10">
        <v>45</v>
      </c>
      <c r="B49" s="140">
        <v>14</v>
      </c>
      <c r="C49" s="15" t="s">
        <v>33</v>
      </c>
      <c r="D49" s="16">
        <v>43753</v>
      </c>
      <c r="E49" s="16">
        <v>43784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7"/>
    </row>
    <row r="50" spans="1:27" x14ac:dyDescent="0.4">
      <c r="A50" s="10">
        <v>46</v>
      </c>
      <c r="B50" s="140"/>
      <c r="C50" s="18" t="s">
        <v>34</v>
      </c>
      <c r="D50" s="18" t="s">
        <v>35</v>
      </c>
      <c r="E50" s="18" t="s">
        <v>35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9"/>
    </row>
    <row r="51" spans="1:27" x14ac:dyDescent="0.4">
      <c r="A51" s="10">
        <v>47</v>
      </c>
      <c r="B51" s="140"/>
      <c r="C51" s="44" t="s">
        <v>41</v>
      </c>
      <c r="D51" s="44">
        <v>360</v>
      </c>
      <c r="E51" s="44">
        <v>360</v>
      </c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5"/>
    </row>
    <row r="52" spans="1:27" ht="12.75" customHeight="1" x14ac:dyDescent="0.4">
      <c r="A52" s="10">
        <v>48</v>
      </c>
      <c r="B52" s="140">
        <v>15</v>
      </c>
      <c r="C52" s="15" t="s">
        <v>33</v>
      </c>
      <c r="D52" s="16">
        <v>43754</v>
      </c>
      <c r="E52" s="16">
        <v>43785</v>
      </c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7"/>
    </row>
    <row r="53" spans="1:27" x14ac:dyDescent="0.4">
      <c r="A53" s="10">
        <v>49</v>
      </c>
      <c r="B53" s="140"/>
      <c r="C53" s="18" t="s">
        <v>34</v>
      </c>
      <c r="D53" s="18" t="s">
        <v>35</v>
      </c>
      <c r="E53" s="18" t="s">
        <v>35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9"/>
    </row>
    <row r="54" spans="1:27" x14ac:dyDescent="0.4">
      <c r="A54" s="10">
        <v>50</v>
      </c>
      <c r="B54" s="140"/>
      <c r="C54" s="44" t="s">
        <v>41</v>
      </c>
      <c r="D54" s="44">
        <v>360</v>
      </c>
      <c r="E54" s="44">
        <v>360</v>
      </c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5"/>
    </row>
    <row r="55" spans="1:27" ht="12.75" customHeight="1" x14ac:dyDescent="0.4">
      <c r="A55" s="10">
        <v>51</v>
      </c>
      <c r="B55" s="140">
        <v>16</v>
      </c>
      <c r="C55" s="15" t="s">
        <v>33</v>
      </c>
      <c r="D55" s="16">
        <v>43755</v>
      </c>
      <c r="E55" s="16">
        <v>43786</v>
      </c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7"/>
    </row>
    <row r="56" spans="1:27" x14ac:dyDescent="0.4">
      <c r="A56" s="10">
        <v>52</v>
      </c>
      <c r="B56" s="140"/>
      <c r="C56" s="18" t="s">
        <v>34</v>
      </c>
      <c r="D56" s="18" t="s">
        <v>35</v>
      </c>
      <c r="E56" s="18" t="s">
        <v>35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9"/>
    </row>
    <row r="57" spans="1:27" x14ac:dyDescent="0.4">
      <c r="A57" s="10">
        <v>53</v>
      </c>
      <c r="B57" s="140"/>
      <c r="C57" s="44" t="s">
        <v>41</v>
      </c>
      <c r="D57" s="44">
        <v>360</v>
      </c>
      <c r="E57" s="44">
        <v>360</v>
      </c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5"/>
    </row>
    <row r="58" spans="1:27" ht="12.75" customHeight="1" x14ac:dyDescent="0.4">
      <c r="A58" s="10">
        <v>54</v>
      </c>
      <c r="B58" s="140">
        <v>17</v>
      </c>
      <c r="C58" s="15" t="s">
        <v>33</v>
      </c>
      <c r="D58" s="16">
        <v>43756</v>
      </c>
      <c r="E58" s="16">
        <v>43787</v>
      </c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7"/>
    </row>
    <row r="59" spans="1:27" x14ac:dyDescent="0.4">
      <c r="A59" s="10">
        <v>55</v>
      </c>
      <c r="B59" s="140"/>
      <c r="C59" s="18" t="s">
        <v>34</v>
      </c>
      <c r="D59" s="18" t="s">
        <v>35</v>
      </c>
      <c r="E59" s="18" t="s">
        <v>35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9"/>
    </row>
    <row r="60" spans="1:27" x14ac:dyDescent="0.4">
      <c r="A60" s="10">
        <v>56</v>
      </c>
      <c r="B60" s="140"/>
      <c r="C60" s="44" t="s">
        <v>41</v>
      </c>
      <c r="D60" s="44">
        <v>360</v>
      </c>
      <c r="E60" s="44">
        <v>360</v>
      </c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5"/>
    </row>
    <row r="61" spans="1:27" ht="12.75" customHeight="1" x14ac:dyDescent="0.4">
      <c r="A61" s="10">
        <v>57</v>
      </c>
      <c r="B61" s="140">
        <v>18</v>
      </c>
      <c r="C61" s="15" t="s">
        <v>33</v>
      </c>
      <c r="D61" s="16">
        <v>43757</v>
      </c>
      <c r="E61" s="16">
        <v>43788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7"/>
    </row>
    <row r="62" spans="1:27" x14ac:dyDescent="0.4">
      <c r="A62" s="10">
        <v>58</v>
      </c>
      <c r="B62" s="140"/>
      <c r="C62" s="18" t="s">
        <v>34</v>
      </c>
      <c r="D62" s="18" t="s">
        <v>35</v>
      </c>
      <c r="E62" s="18" t="s">
        <v>35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9"/>
    </row>
    <row r="63" spans="1:27" x14ac:dyDescent="0.4">
      <c r="A63" s="10">
        <v>59</v>
      </c>
      <c r="B63" s="140"/>
      <c r="C63" s="44" t="s">
        <v>41</v>
      </c>
      <c r="D63" s="44">
        <v>360</v>
      </c>
      <c r="E63" s="44">
        <v>360</v>
      </c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5"/>
    </row>
    <row r="64" spans="1:27" ht="12.75" customHeight="1" x14ac:dyDescent="0.4">
      <c r="A64" s="10">
        <v>60</v>
      </c>
      <c r="B64" s="140">
        <v>19</v>
      </c>
      <c r="C64" s="15" t="s">
        <v>33</v>
      </c>
      <c r="D64" s="16">
        <v>43758</v>
      </c>
      <c r="E64" s="16">
        <v>43789</v>
      </c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7"/>
    </row>
    <row r="65" spans="1:27" x14ac:dyDescent="0.4">
      <c r="A65" s="10">
        <v>61</v>
      </c>
      <c r="B65" s="140"/>
      <c r="C65" s="18" t="s">
        <v>34</v>
      </c>
      <c r="D65" s="18" t="s">
        <v>35</v>
      </c>
      <c r="E65" s="18" t="s">
        <v>35</v>
      </c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9"/>
    </row>
    <row r="66" spans="1:27" x14ac:dyDescent="0.4">
      <c r="A66" s="10">
        <v>62</v>
      </c>
      <c r="B66" s="140"/>
      <c r="C66" s="44" t="s">
        <v>41</v>
      </c>
      <c r="D66" s="44">
        <v>360</v>
      </c>
      <c r="E66" s="44">
        <v>360</v>
      </c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5"/>
    </row>
    <row r="67" spans="1:27" ht="12.75" customHeight="1" x14ac:dyDescent="0.4">
      <c r="A67" s="10">
        <v>63</v>
      </c>
      <c r="B67" s="140">
        <v>20</v>
      </c>
      <c r="C67" s="15" t="s">
        <v>33</v>
      </c>
      <c r="D67" s="16">
        <v>43759</v>
      </c>
      <c r="E67" s="16">
        <v>43790</v>
      </c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7"/>
    </row>
    <row r="68" spans="1:27" x14ac:dyDescent="0.4">
      <c r="A68" s="10">
        <v>64</v>
      </c>
      <c r="B68" s="140"/>
      <c r="C68" s="18" t="s">
        <v>34</v>
      </c>
      <c r="D68" s="18" t="s">
        <v>35</v>
      </c>
      <c r="E68" s="18" t="s">
        <v>35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9"/>
    </row>
    <row r="69" spans="1:27" x14ac:dyDescent="0.4">
      <c r="A69" s="10">
        <v>65</v>
      </c>
      <c r="B69" s="140"/>
      <c r="C69" s="44" t="s">
        <v>41</v>
      </c>
      <c r="D69" s="44">
        <v>360</v>
      </c>
      <c r="E69" s="44">
        <v>360</v>
      </c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5"/>
    </row>
    <row r="70" spans="1:27" ht="12.75" customHeight="1" x14ac:dyDescent="0.4">
      <c r="A70" s="10">
        <v>66</v>
      </c>
      <c r="B70" s="140">
        <v>21</v>
      </c>
      <c r="C70" s="15" t="s">
        <v>33</v>
      </c>
      <c r="D70" s="16">
        <v>43760</v>
      </c>
      <c r="E70" s="16">
        <v>43791</v>
      </c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7"/>
    </row>
    <row r="71" spans="1:27" x14ac:dyDescent="0.4">
      <c r="A71" s="10">
        <v>67</v>
      </c>
      <c r="B71" s="140"/>
      <c r="C71" s="18" t="s">
        <v>34</v>
      </c>
      <c r="D71" s="18" t="s">
        <v>35</v>
      </c>
      <c r="E71" s="18" t="s">
        <v>35</v>
      </c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9"/>
    </row>
    <row r="72" spans="1:27" x14ac:dyDescent="0.4">
      <c r="A72" s="10">
        <v>68</v>
      </c>
      <c r="B72" s="140"/>
      <c r="C72" s="44" t="s">
        <v>41</v>
      </c>
      <c r="D72" s="44">
        <v>360</v>
      </c>
      <c r="E72" s="44">
        <v>360</v>
      </c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5"/>
    </row>
    <row r="73" spans="1:27" ht="12.75" customHeight="1" x14ac:dyDescent="0.4">
      <c r="A73" s="10">
        <v>69</v>
      </c>
      <c r="B73" s="140">
        <v>22</v>
      </c>
      <c r="C73" s="15" t="s">
        <v>33</v>
      </c>
      <c r="D73" s="16">
        <v>43761</v>
      </c>
      <c r="E73" s="16">
        <v>43792</v>
      </c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7"/>
    </row>
    <row r="74" spans="1:27" x14ac:dyDescent="0.4">
      <c r="A74" s="10">
        <v>70</v>
      </c>
      <c r="B74" s="140"/>
      <c r="C74" s="18" t="s">
        <v>34</v>
      </c>
      <c r="D74" s="18" t="s">
        <v>35</v>
      </c>
      <c r="E74" s="18" t="s">
        <v>35</v>
      </c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9"/>
    </row>
    <row r="75" spans="1:27" x14ac:dyDescent="0.4">
      <c r="A75" s="10">
        <v>71</v>
      </c>
      <c r="B75" s="140"/>
      <c r="C75" s="44" t="s">
        <v>41</v>
      </c>
      <c r="D75" s="44">
        <v>360</v>
      </c>
      <c r="E75" s="44">
        <v>360</v>
      </c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5"/>
    </row>
    <row r="76" spans="1:27" ht="12.75" customHeight="1" x14ac:dyDescent="0.4">
      <c r="A76" s="10">
        <v>72</v>
      </c>
      <c r="B76" s="140">
        <v>23</v>
      </c>
      <c r="C76" s="15" t="s">
        <v>33</v>
      </c>
      <c r="D76" s="16">
        <v>43762</v>
      </c>
      <c r="E76" s="16">
        <v>43793</v>
      </c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7"/>
    </row>
    <row r="77" spans="1:27" x14ac:dyDescent="0.4">
      <c r="A77" s="10">
        <v>73</v>
      </c>
      <c r="B77" s="140"/>
      <c r="C77" s="18" t="s">
        <v>34</v>
      </c>
      <c r="D77" s="18" t="s">
        <v>35</v>
      </c>
      <c r="E77" s="18" t="s">
        <v>35</v>
      </c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9"/>
    </row>
    <row r="78" spans="1:27" x14ac:dyDescent="0.4">
      <c r="A78" s="10">
        <v>74</v>
      </c>
      <c r="B78" s="140"/>
      <c r="C78" s="44" t="s">
        <v>41</v>
      </c>
      <c r="D78" s="44">
        <v>360</v>
      </c>
      <c r="E78" s="44">
        <v>360</v>
      </c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5"/>
    </row>
    <row r="79" spans="1:27" ht="12.75" customHeight="1" x14ac:dyDescent="0.4">
      <c r="A79" s="10">
        <v>75</v>
      </c>
      <c r="B79" s="140">
        <v>24</v>
      </c>
      <c r="C79" s="15" t="s">
        <v>33</v>
      </c>
      <c r="D79" s="16">
        <v>43763</v>
      </c>
      <c r="E79" s="16">
        <v>43794</v>
      </c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7"/>
    </row>
    <row r="80" spans="1:27" x14ac:dyDescent="0.4">
      <c r="A80" s="10">
        <v>76</v>
      </c>
      <c r="B80" s="140"/>
      <c r="C80" s="18" t="s">
        <v>34</v>
      </c>
      <c r="D80" s="18" t="s">
        <v>35</v>
      </c>
      <c r="E80" s="18" t="s">
        <v>42</v>
      </c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9"/>
    </row>
    <row r="81" spans="1:27" x14ac:dyDescent="0.4">
      <c r="A81" s="10">
        <v>77</v>
      </c>
      <c r="B81" s="140"/>
      <c r="C81" s="44" t="s">
        <v>41</v>
      </c>
      <c r="D81" s="44">
        <v>360</v>
      </c>
      <c r="E81" s="44">
        <v>3600</v>
      </c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5"/>
    </row>
    <row r="82" spans="1:27" ht="12.75" customHeight="1" x14ac:dyDescent="0.4">
      <c r="A82" s="10">
        <v>78</v>
      </c>
      <c r="B82" s="140">
        <v>25</v>
      </c>
      <c r="C82" s="15" t="s">
        <v>33</v>
      </c>
      <c r="D82" s="16">
        <v>43764</v>
      </c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7"/>
    </row>
    <row r="83" spans="1:27" x14ac:dyDescent="0.4">
      <c r="A83" s="10">
        <v>79</v>
      </c>
      <c r="B83" s="140"/>
      <c r="C83" s="18" t="s">
        <v>34</v>
      </c>
      <c r="D83" s="18" t="s">
        <v>35</v>
      </c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9"/>
    </row>
    <row r="84" spans="1:27" x14ac:dyDescent="0.4">
      <c r="A84" s="10">
        <v>80</v>
      </c>
      <c r="B84" s="140"/>
      <c r="C84" s="44" t="s">
        <v>41</v>
      </c>
      <c r="D84" s="44">
        <v>360</v>
      </c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5"/>
    </row>
    <row r="85" spans="1:27" ht="12.75" customHeight="1" x14ac:dyDescent="0.4">
      <c r="A85" s="10">
        <v>81</v>
      </c>
      <c r="B85" s="140">
        <v>26</v>
      </c>
      <c r="C85" s="15" t="s">
        <v>33</v>
      </c>
      <c r="D85" s="16">
        <v>43765</v>
      </c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7"/>
    </row>
    <row r="86" spans="1:27" x14ac:dyDescent="0.4">
      <c r="A86" s="10">
        <v>82</v>
      </c>
      <c r="B86" s="140"/>
      <c r="C86" s="18" t="s">
        <v>34</v>
      </c>
      <c r="D86" s="18" t="s">
        <v>35</v>
      </c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9"/>
    </row>
    <row r="87" spans="1:27" x14ac:dyDescent="0.4">
      <c r="A87" s="10">
        <v>83</v>
      </c>
      <c r="B87" s="140"/>
      <c r="C87" s="44" t="s">
        <v>41</v>
      </c>
      <c r="D87" s="44">
        <v>360</v>
      </c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5"/>
    </row>
    <row r="88" spans="1:27" x14ac:dyDescent="0.4">
      <c r="A88" s="10">
        <v>84</v>
      </c>
      <c r="B88" s="134" t="s">
        <v>5</v>
      </c>
      <c r="C88" s="40" t="s">
        <v>6</v>
      </c>
      <c r="D88" s="40" t="s">
        <v>17</v>
      </c>
      <c r="E88" s="40" t="s">
        <v>17</v>
      </c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1"/>
    </row>
    <row r="89" spans="1:27" ht="25.5" x14ac:dyDescent="0.4">
      <c r="A89" s="10">
        <v>85</v>
      </c>
      <c r="B89" s="135"/>
      <c r="C89" s="5" t="s">
        <v>7</v>
      </c>
      <c r="D89" s="5" t="s">
        <v>39</v>
      </c>
      <c r="E89" s="5" t="s">
        <v>18</v>
      </c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20"/>
    </row>
    <row r="90" spans="1:27" x14ac:dyDescent="0.4">
      <c r="A90" s="10">
        <v>86</v>
      </c>
      <c r="B90" s="135"/>
      <c r="C90" s="5" t="s">
        <v>8</v>
      </c>
      <c r="D90" s="5" t="s">
        <v>19</v>
      </c>
      <c r="E90" s="5" t="s">
        <v>19</v>
      </c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20"/>
    </row>
    <row r="91" spans="1:27" x14ac:dyDescent="0.4">
      <c r="A91" s="10">
        <v>87</v>
      </c>
      <c r="B91" s="135"/>
      <c r="C91" s="6" t="s">
        <v>9</v>
      </c>
      <c r="D91" s="6" t="s">
        <v>20</v>
      </c>
      <c r="E91" s="6" t="s">
        <v>20</v>
      </c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21"/>
    </row>
  </sheetData>
  <mergeCells count="32">
    <mergeCell ref="B58:B60"/>
    <mergeCell ref="B67:B69"/>
    <mergeCell ref="B70:B72"/>
    <mergeCell ref="B73:B75"/>
    <mergeCell ref="B76:B78"/>
    <mergeCell ref="D2:E2"/>
    <mergeCell ref="D3:E3"/>
    <mergeCell ref="B13:B15"/>
    <mergeCell ref="B16:B18"/>
    <mergeCell ref="B52:B54"/>
    <mergeCell ref="B37:B39"/>
    <mergeCell ref="B40:B42"/>
    <mergeCell ref="B43:B45"/>
    <mergeCell ref="B46:B48"/>
    <mergeCell ref="B49:B51"/>
    <mergeCell ref="B34:B36"/>
    <mergeCell ref="B88:B91"/>
    <mergeCell ref="B7:B9"/>
    <mergeCell ref="A2:B2"/>
    <mergeCell ref="A3:B3"/>
    <mergeCell ref="B19:B21"/>
    <mergeCell ref="B22:B24"/>
    <mergeCell ref="B25:B27"/>
    <mergeCell ref="B28:B30"/>
    <mergeCell ref="B31:B33"/>
    <mergeCell ref="B10:B12"/>
    <mergeCell ref="B55:B57"/>
    <mergeCell ref="B82:B84"/>
    <mergeCell ref="B85:B87"/>
    <mergeCell ref="B64:B66"/>
    <mergeCell ref="B61:B63"/>
    <mergeCell ref="B79:B81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74220-3568-457E-B316-D0803A6C8ED0}">
  <dimension ref="A1"/>
  <sheetViews>
    <sheetView workbookViewId="0">
      <selection activeCell="H15" sqref="H15"/>
    </sheetView>
  </sheetViews>
  <sheetFormatPr defaultRowHeight="18.75" x14ac:dyDescent="0.4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仮払い申請書</vt:lpstr>
      <vt:lpstr>入力シート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2019-10-08T01:10:19Z</cp:lastPrinted>
  <dcterms:created xsi:type="dcterms:W3CDTF">2019-09-25T12:12:32Z</dcterms:created>
  <dcterms:modified xsi:type="dcterms:W3CDTF">2019-10-29T14:55:52Z</dcterms:modified>
</cp:coreProperties>
</file>