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クラウドワークス\受注\テンプレート10件（CWs1：大原様）\"/>
    </mc:Choice>
  </mc:AlternateContent>
  <xr:revisionPtr revIDLastSave="0" documentId="13_ncr:1_{F58A1E2F-77C8-4234-9377-AC2290D4D3E1}" xr6:coauthVersionLast="45" xr6:coauthVersionMax="45" xr10:uidLastSave="{00000000-0000-0000-0000-000000000000}"/>
  <bookViews>
    <workbookView xWindow="-120" yWindow="-120" windowWidth="20730" windowHeight="11160" xr2:uid="{095ACB95-195C-4299-B93C-D6D70B137F7C}"/>
  </bookViews>
  <sheets>
    <sheet name="出張・交通費申請書（出力）" sheetId="1" r:id="rId1"/>
    <sheet name="入力シート" sheetId="4" r:id="rId2"/>
  </sheets>
  <definedNames>
    <definedName name="_xlnm.Print_Area" localSheetId="0">'出張・交通費申請書（出力）'!$A$1:$S$48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6" i="1" l="1"/>
  <c r="A45" i="1"/>
  <c r="A44" i="1"/>
  <c r="A43" i="1"/>
  <c r="K36" i="1"/>
  <c r="P36" i="1"/>
  <c r="D36" i="1"/>
  <c r="B36" i="1"/>
  <c r="P35" i="1"/>
  <c r="K35" i="1"/>
  <c r="D35" i="1"/>
  <c r="B35" i="1"/>
  <c r="P34" i="1"/>
  <c r="K34" i="1"/>
  <c r="D34" i="1"/>
  <c r="B34" i="1"/>
  <c r="P33" i="1"/>
  <c r="K33" i="1"/>
  <c r="D33" i="1"/>
  <c r="B33" i="1"/>
  <c r="P32" i="1"/>
  <c r="K32" i="1"/>
  <c r="D32" i="1"/>
  <c r="B32" i="1"/>
  <c r="P31" i="1"/>
  <c r="K31" i="1"/>
  <c r="D31" i="1"/>
  <c r="B31" i="1"/>
  <c r="P30" i="1"/>
  <c r="K30" i="1"/>
  <c r="D30" i="1"/>
  <c r="B30" i="1"/>
  <c r="P29" i="1"/>
  <c r="K29" i="1"/>
  <c r="D29" i="1"/>
  <c r="B29" i="1"/>
  <c r="P28" i="1"/>
  <c r="K28" i="1"/>
  <c r="D28" i="1"/>
  <c r="B28" i="1"/>
  <c r="P27" i="1"/>
  <c r="K27" i="1"/>
  <c r="D27" i="1"/>
  <c r="B27" i="1"/>
  <c r="P25" i="1"/>
  <c r="K25" i="1"/>
  <c r="D25" i="1"/>
  <c r="B25" i="1"/>
  <c r="P24" i="1"/>
  <c r="K24" i="1"/>
  <c r="D24" i="1"/>
  <c r="B24" i="1"/>
  <c r="P23" i="1"/>
  <c r="K23" i="1"/>
  <c r="D23" i="1"/>
  <c r="B23" i="1"/>
  <c r="P21" i="1"/>
  <c r="K21" i="1"/>
  <c r="D21" i="1"/>
  <c r="B21" i="1"/>
  <c r="P20" i="1"/>
  <c r="K20" i="1"/>
  <c r="D20" i="1"/>
  <c r="B20" i="1"/>
  <c r="P19" i="1"/>
  <c r="K19" i="1"/>
  <c r="D19" i="1"/>
  <c r="B19" i="1"/>
  <c r="P18" i="1"/>
  <c r="K18" i="1"/>
  <c r="D18" i="1"/>
  <c r="B18" i="1"/>
  <c r="P17" i="1"/>
  <c r="K17" i="1"/>
  <c r="D17" i="1"/>
  <c r="B17" i="1"/>
  <c r="P16" i="1"/>
  <c r="K16" i="1"/>
  <c r="D16" i="1"/>
  <c r="B16" i="1"/>
  <c r="P15" i="1"/>
  <c r="K15" i="1"/>
  <c r="D15" i="1"/>
  <c r="B15" i="1"/>
  <c r="B13" i="1"/>
  <c r="P14" i="1"/>
  <c r="K14" i="1"/>
  <c r="D14" i="1"/>
  <c r="B14" i="1"/>
  <c r="P13" i="1"/>
  <c r="K13" i="1"/>
  <c r="D13" i="1"/>
  <c r="P12" i="1" l="1"/>
  <c r="K12" i="1"/>
  <c r="D12" i="1"/>
  <c r="B12" i="1"/>
  <c r="H10" i="1"/>
  <c r="B10" i="1"/>
  <c r="Q3" i="1"/>
  <c r="D5" i="1" l="1"/>
  <c r="D6" i="1"/>
  <c r="P37" i="1"/>
</calcChain>
</file>

<file path=xl/sharedStrings.xml><?xml version="1.0" encoding="utf-8"?>
<sst xmlns="http://schemas.openxmlformats.org/spreadsheetml/2006/main" count="259" uniqueCount="87">
  <si>
    <t>摘要</t>
    <rPh sb="0" eb="2">
      <t>テキヨウ</t>
    </rPh>
    <phoneticPr fontId="9"/>
  </si>
  <si>
    <t>金額</t>
    <rPh sb="0" eb="2">
      <t>キンガク</t>
    </rPh>
    <phoneticPr fontId="9"/>
  </si>
  <si>
    <t>通常交通費</t>
    <rPh sb="0" eb="2">
      <t>ツウジョウ</t>
    </rPh>
    <rPh sb="2" eb="5">
      <t>コウツウヒ</t>
    </rPh>
    <phoneticPr fontId="1"/>
  </si>
  <si>
    <t>定期券</t>
    <rPh sb="0" eb="3">
      <t>テイキケン</t>
    </rPh>
    <phoneticPr fontId="1"/>
  </si>
  <si>
    <t>出張交通費・旅費</t>
    <rPh sb="0" eb="2">
      <t>シュッチョウ</t>
    </rPh>
    <rPh sb="2" eb="5">
      <t>コウツウヒ</t>
    </rPh>
    <rPh sb="4" eb="5">
      <t>ヒ</t>
    </rPh>
    <rPh sb="6" eb="8">
      <t>リョヒ</t>
    </rPh>
    <phoneticPr fontId="1"/>
  </si>
  <si>
    <t>購入日</t>
    <rPh sb="0" eb="2">
      <t>コウニュウ</t>
    </rPh>
    <rPh sb="2" eb="3">
      <t>ビ</t>
    </rPh>
    <phoneticPr fontId="1"/>
  </si>
  <si>
    <t>摘要</t>
    <rPh sb="0" eb="2">
      <t>テキヨウ</t>
    </rPh>
    <phoneticPr fontId="1"/>
  </si>
  <si>
    <t>利用日</t>
    <rPh sb="0" eb="2">
      <t>リヨウ</t>
    </rPh>
    <rPh sb="2" eb="3">
      <t>ヒ</t>
    </rPh>
    <phoneticPr fontId="9"/>
  </si>
  <si>
    <t>交通機関・区間等</t>
    <rPh sb="0" eb="2">
      <t>コウツウ</t>
    </rPh>
    <rPh sb="2" eb="4">
      <t>キカン</t>
    </rPh>
    <rPh sb="5" eb="7">
      <t>クカン</t>
    </rPh>
    <rPh sb="7" eb="8">
      <t>トウ</t>
    </rPh>
    <phoneticPr fontId="9"/>
  </si>
  <si>
    <t>起票年月日</t>
    <rPh sb="0" eb="2">
      <t>キヒョウ</t>
    </rPh>
    <rPh sb="2" eb="5">
      <t>ネンガッピ</t>
    </rPh>
    <phoneticPr fontId="1"/>
  </si>
  <si>
    <t>申請者</t>
    <rPh sb="0" eb="3">
      <t>シンセイシャ</t>
    </rPh>
    <phoneticPr fontId="1"/>
  </si>
  <si>
    <t>所属部署</t>
    <rPh sb="0" eb="2">
      <t>ショゾク</t>
    </rPh>
    <rPh sb="2" eb="4">
      <t>ブショ</t>
    </rPh>
    <phoneticPr fontId="1"/>
  </si>
  <si>
    <t>期間</t>
    <rPh sb="0" eb="2">
      <t>キカン</t>
    </rPh>
    <phoneticPr fontId="1"/>
  </si>
  <si>
    <t>2019年10月1日～31日</t>
    <rPh sb="4" eb="5">
      <t>ネン</t>
    </rPh>
    <rPh sb="7" eb="8">
      <t>ガツ</t>
    </rPh>
    <rPh sb="9" eb="10">
      <t>ヒ</t>
    </rPh>
    <rPh sb="13" eb="14">
      <t>ヒ</t>
    </rPh>
    <phoneticPr fontId="1"/>
  </si>
  <si>
    <t>記入例</t>
    <rPh sb="0" eb="2">
      <t>キニュウ</t>
    </rPh>
    <rPh sb="2" eb="3">
      <t>レイ</t>
    </rPh>
    <phoneticPr fontId="1"/>
  </si>
  <si>
    <t>2019年10月改定版</t>
    <rPh sb="4" eb="5">
      <t>ネン</t>
    </rPh>
    <rPh sb="7" eb="8">
      <t>ガツ</t>
    </rPh>
    <rPh sb="8" eb="10">
      <t>カイテイ</t>
    </rPh>
    <rPh sb="10" eb="11">
      <t>バン</t>
    </rPh>
    <phoneticPr fontId="1"/>
  </si>
  <si>
    <t>日付</t>
    <rPh sb="0" eb="2">
      <t>ヒヅケ</t>
    </rPh>
    <phoneticPr fontId="1"/>
  </si>
  <si>
    <t>交通機関・区間等</t>
    <rPh sb="0" eb="2">
      <t>コウツウ</t>
    </rPh>
    <rPh sb="2" eb="4">
      <t>キカン</t>
    </rPh>
    <rPh sb="5" eb="7">
      <t>クカン</t>
    </rPh>
    <rPh sb="7" eb="8">
      <t>トウ</t>
    </rPh>
    <phoneticPr fontId="1"/>
  </si>
  <si>
    <t>金額</t>
    <rPh sb="0" eb="2">
      <t>キンガク</t>
    </rPh>
    <phoneticPr fontId="1"/>
  </si>
  <si>
    <t>通常１</t>
    <rPh sb="0" eb="2">
      <t>ツウジョウ</t>
    </rPh>
    <phoneticPr fontId="1"/>
  </si>
  <si>
    <t>通常２</t>
    <rPh sb="0" eb="2">
      <t>ツウジョウ</t>
    </rPh>
    <phoneticPr fontId="1"/>
  </si>
  <si>
    <t>通常３</t>
    <rPh sb="0" eb="2">
      <t>ツウジョウ</t>
    </rPh>
    <phoneticPr fontId="1"/>
  </si>
  <si>
    <t>通常４</t>
    <rPh sb="0" eb="2">
      <t>ツウジョウ</t>
    </rPh>
    <phoneticPr fontId="1"/>
  </si>
  <si>
    <t>通常５</t>
    <rPh sb="0" eb="2">
      <t>ツウジョウ</t>
    </rPh>
    <phoneticPr fontId="1"/>
  </si>
  <si>
    <t>通常６</t>
    <rPh sb="0" eb="2">
      <t>ツウジョウ</t>
    </rPh>
    <phoneticPr fontId="1"/>
  </si>
  <si>
    <t>通常７</t>
    <rPh sb="0" eb="2">
      <t>ツウジョウ</t>
    </rPh>
    <phoneticPr fontId="1"/>
  </si>
  <si>
    <t>通常８</t>
    <rPh sb="0" eb="2">
      <t>ツウジョウ</t>
    </rPh>
    <phoneticPr fontId="1"/>
  </si>
  <si>
    <t>通常９</t>
    <rPh sb="0" eb="2">
      <t>ツウジョウ</t>
    </rPh>
    <phoneticPr fontId="1"/>
  </si>
  <si>
    <t>通常１０</t>
    <rPh sb="0" eb="2">
      <t>ツウジョウ</t>
    </rPh>
    <phoneticPr fontId="1"/>
  </si>
  <si>
    <t>購入日</t>
    <rPh sb="0" eb="2">
      <t>コウニュウ</t>
    </rPh>
    <rPh sb="2" eb="3">
      <t>ヒ</t>
    </rPh>
    <phoneticPr fontId="1"/>
  </si>
  <si>
    <t>定期１</t>
    <rPh sb="0" eb="2">
      <t>テイキ</t>
    </rPh>
    <phoneticPr fontId="1"/>
  </si>
  <si>
    <t>定期２</t>
    <rPh sb="0" eb="2">
      <t>テイキ</t>
    </rPh>
    <phoneticPr fontId="1"/>
  </si>
  <si>
    <t>定期３</t>
    <rPh sb="0" eb="2">
      <t>テイキ</t>
    </rPh>
    <phoneticPr fontId="1"/>
  </si>
  <si>
    <t>出張１</t>
    <rPh sb="0" eb="2">
      <t>シュッチョウ</t>
    </rPh>
    <phoneticPr fontId="1"/>
  </si>
  <si>
    <t>備考</t>
    <rPh sb="0" eb="2">
      <t>ビコウ</t>
    </rPh>
    <phoneticPr fontId="1"/>
  </si>
  <si>
    <t>備考１行目</t>
    <rPh sb="0" eb="2">
      <t>ビコウ</t>
    </rPh>
    <rPh sb="3" eb="5">
      <t>ギョウメ</t>
    </rPh>
    <phoneticPr fontId="1"/>
  </si>
  <si>
    <t>備考２行目</t>
    <rPh sb="0" eb="2">
      <t>ビコウ</t>
    </rPh>
    <rPh sb="3" eb="5">
      <t>ギョウメ</t>
    </rPh>
    <phoneticPr fontId="1"/>
  </si>
  <si>
    <t>備考３行目</t>
    <rPh sb="0" eb="2">
      <t>ビコウ</t>
    </rPh>
    <rPh sb="3" eb="5">
      <t>ギョウメ</t>
    </rPh>
    <phoneticPr fontId="1"/>
  </si>
  <si>
    <t>備考４行目</t>
    <rPh sb="0" eb="2">
      <t>ビコウ</t>
    </rPh>
    <rPh sb="3" eb="5">
      <t>ギョウメ</t>
    </rPh>
    <phoneticPr fontId="1"/>
  </si>
  <si>
    <t>2019年11月1日～30日</t>
    <rPh sb="4" eb="5">
      <t>ネン</t>
    </rPh>
    <rPh sb="7" eb="8">
      <t>ガツ</t>
    </rPh>
    <rPh sb="9" eb="10">
      <t>ヒ</t>
    </rPh>
    <rPh sb="13" eb="14">
      <t>ヒ</t>
    </rPh>
    <phoneticPr fontId="1"/>
  </si>
  <si>
    <t>出張2</t>
    <rPh sb="0" eb="2">
      <t>シュッチョウ</t>
    </rPh>
    <phoneticPr fontId="1"/>
  </si>
  <si>
    <t>出張３</t>
    <rPh sb="0" eb="2">
      <t>シュッチョウ</t>
    </rPh>
    <phoneticPr fontId="1"/>
  </si>
  <si>
    <t>出張４</t>
    <rPh sb="0" eb="2">
      <t>シュッチョウ</t>
    </rPh>
    <phoneticPr fontId="1"/>
  </si>
  <si>
    <t>出張５</t>
    <rPh sb="0" eb="2">
      <t>シュッチョウ</t>
    </rPh>
    <phoneticPr fontId="1"/>
  </si>
  <si>
    <t>出張６</t>
    <rPh sb="0" eb="2">
      <t>シュッチョウ</t>
    </rPh>
    <phoneticPr fontId="1"/>
  </si>
  <si>
    <t>出張７</t>
    <rPh sb="0" eb="2">
      <t>シュッチョウ</t>
    </rPh>
    <phoneticPr fontId="1"/>
  </si>
  <si>
    <t>出張８</t>
    <rPh sb="0" eb="2">
      <t>シュッチョウ</t>
    </rPh>
    <phoneticPr fontId="1"/>
  </si>
  <si>
    <t>出張９</t>
    <rPh sb="0" eb="2">
      <t>シュッチョウ</t>
    </rPh>
    <phoneticPr fontId="1"/>
  </si>
  <si>
    <t>出張１０</t>
    <rPh sb="0" eb="2">
      <t>シュッチョウ</t>
    </rPh>
    <phoneticPr fontId="1"/>
  </si>
  <si>
    <t>営業1部営業２課</t>
    <phoneticPr fontId="1"/>
  </si>
  <si>
    <t>営業　好太郎</t>
    <phoneticPr fontId="1"/>
  </si>
  <si>
    <t>≪備考欄≫</t>
    <rPh sb="1" eb="3">
      <t>ビコウ</t>
    </rPh>
    <rPh sb="3" eb="4">
      <t>ラン</t>
    </rPh>
    <phoneticPr fontId="1"/>
  </si>
  <si>
    <t>合　計　</t>
    <rPh sb="0" eb="1">
      <t>ゴウ</t>
    </rPh>
    <rPh sb="2" eb="3">
      <t>ケイ</t>
    </rPh>
    <phoneticPr fontId="9"/>
  </si>
  <si>
    <t>起票年月日：</t>
    <rPh sb="0" eb="5">
      <t>キヒョウネンガッピ</t>
    </rPh>
    <phoneticPr fontId="1"/>
  </si>
  <si>
    <t>出張・交通費申請書</t>
    <rPh sb="0" eb="2">
      <t>シュッチョウ</t>
    </rPh>
    <rPh sb="3" eb="6">
      <t>コウツウヒ</t>
    </rPh>
    <rPh sb="6" eb="9">
      <t>シンセイショ</t>
    </rPh>
    <phoneticPr fontId="1"/>
  </si>
  <si>
    <t>下記の通り申請いたします。</t>
    <rPh sb="0" eb="2">
      <t>カキ</t>
    </rPh>
    <rPh sb="3" eb="4">
      <t>トオ</t>
    </rPh>
    <rPh sb="5" eb="7">
      <t>シンセイ</t>
    </rPh>
    <phoneticPr fontId="1"/>
  </si>
  <si>
    <t>※通常交通費の領収書は可能な限り添付すること。</t>
    <rPh sb="1" eb="3">
      <t>ツウジョウ</t>
    </rPh>
    <rPh sb="3" eb="6">
      <t>コウツウヒ</t>
    </rPh>
    <rPh sb="7" eb="10">
      <t>リョウシュウショ</t>
    </rPh>
    <rPh sb="11" eb="13">
      <t>カノウ</t>
    </rPh>
    <rPh sb="14" eb="15">
      <t>カギ</t>
    </rPh>
    <rPh sb="16" eb="18">
      <t>テンプ</t>
    </rPh>
    <phoneticPr fontId="1"/>
  </si>
  <si>
    <t>※定期券および出張交通費・旅費の領収書は添付必須（別紙のり付け等）。</t>
    <rPh sb="1" eb="4">
      <t>テイキケン</t>
    </rPh>
    <rPh sb="7" eb="9">
      <t>シュッチョウ</t>
    </rPh>
    <rPh sb="9" eb="12">
      <t>コウツウヒ</t>
    </rPh>
    <rPh sb="13" eb="15">
      <t>リョヒ</t>
    </rPh>
    <rPh sb="16" eb="19">
      <t>リョウシュウショ</t>
    </rPh>
    <rPh sb="20" eb="22">
      <t>テンプ</t>
    </rPh>
    <rPh sb="22" eb="24">
      <t>ヒッス</t>
    </rPh>
    <rPh sb="25" eb="27">
      <t>ベッシ</t>
    </rPh>
    <rPh sb="29" eb="30">
      <t>ヅ</t>
    </rPh>
    <rPh sb="31" eb="32">
      <t>トウ</t>
    </rPh>
    <phoneticPr fontId="1"/>
  </si>
  <si>
    <t>所属部署：</t>
    <rPh sb="0" eb="2">
      <t>ショゾク</t>
    </rPh>
    <rPh sb="2" eb="4">
      <t>ブショ</t>
    </rPh>
    <phoneticPr fontId="1"/>
  </si>
  <si>
    <t>申請者：</t>
    <rPh sb="0" eb="3">
      <t>シンセイシャ</t>
    </rPh>
    <phoneticPr fontId="1"/>
  </si>
  <si>
    <t>交通費番号</t>
    <rPh sb="0" eb="3">
      <t>コウツウヒ</t>
    </rPh>
    <rPh sb="3" eb="5">
      <t>バンゴウ</t>
    </rPh>
    <phoneticPr fontId="1"/>
  </si>
  <si>
    <t>交通費番号</t>
    <rPh sb="0" eb="3">
      <t>コウツウヒ</t>
    </rPh>
    <rPh sb="3" eb="5">
      <t>バンゴウ</t>
    </rPh>
    <phoneticPr fontId="1"/>
  </si>
  <si>
    <t>期間：</t>
    <rPh sb="0" eb="2">
      <t>キカン</t>
    </rPh>
    <phoneticPr fontId="1"/>
  </si>
  <si>
    <t>該当年月</t>
    <rPh sb="0" eb="2">
      <t>ガイトウ</t>
    </rPh>
    <rPh sb="2" eb="4">
      <t>ネンゲツ</t>
    </rPh>
    <phoneticPr fontId="1"/>
  </si>
  <si>
    <t>分</t>
    <rPh sb="0" eb="1">
      <t>ブン</t>
    </rPh>
    <phoneticPr fontId="1"/>
  </si>
  <si>
    <r>
      <t>電車/東京</t>
    </r>
    <r>
      <rPr>
        <sz val="8"/>
        <color theme="1"/>
        <rFont val="游ゴシック"/>
        <family val="3"/>
        <charset val="128"/>
      </rPr>
      <t>⇔</t>
    </r>
    <r>
      <rPr>
        <sz val="8"/>
        <color theme="1"/>
        <rFont val="游ゴシック"/>
        <family val="3"/>
        <charset val="128"/>
        <scheme val="minor"/>
      </rPr>
      <t>新宿</t>
    </r>
    <rPh sb="0" eb="2">
      <t>デンシャ</t>
    </rPh>
    <rPh sb="3" eb="5">
      <t>トウキョウ</t>
    </rPh>
    <rPh sb="6" eb="8">
      <t>シンジュク</t>
    </rPh>
    <phoneticPr fontId="1"/>
  </si>
  <si>
    <t>営業（○○様）</t>
    <rPh sb="0" eb="2">
      <t>エイギョウ</t>
    </rPh>
    <rPh sb="5" eb="6">
      <t>サマ</t>
    </rPh>
    <phoneticPr fontId="1"/>
  </si>
  <si>
    <t>電車/東京→新宿→中野→東京</t>
    <rPh sb="0" eb="2">
      <t>デンシャ</t>
    </rPh>
    <rPh sb="3" eb="5">
      <t>トウキョウ</t>
    </rPh>
    <rPh sb="6" eb="8">
      <t>シンジュク</t>
    </rPh>
    <rPh sb="9" eb="11">
      <t>ナカノ</t>
    </rPh>
    <rPh sb="12" eb="14">
      <t>トウキョウ</t>
    </rPh>
    <phoneticPr fontId="1"/>
  </si>
  <si>
    <t>営業（○○様→●●様）</t>
    <rPh sb="0" eb="2">
      <t>エイギョウ</t>
    </rPh>
    <rPh sb="5" eb="6">
      <t>サマ</t>
    </rPh>
    <rPh sb="9" eb="10">
      <t>サマ</t>
    </rPh>
    <phoneticPr fontId="1"/>
  </si>
  <si>
    <t>電車/東京⇔千葉</t>
    <rPh sb="0" eb="2">
      <t>デンシャ</t>
    </rPh>
    <rPh sb="3" eb="5">
      <t>トウキョウ</t>
    </rPh>
    <rPh sb="6" eb="8">
      <t>チバ</t>
    </rPh>
    <phoneticPr fontId="1"/>
  </si>
  <si>
    <t>期間・期限</t>
    <rPh sb="0" eb="2">
      <t>キカン</t>
    </rPh>
    <rPh sb="3" eb="5">
      <t>キゲン</t>
    </rPh>
    <phoneticPr fontId="1"/>
  </si>
  <si>
    <t>1か月分/10月31日まで</t>
    <rPh sb="2" eb="4">
      <t>ゲツブン</t>
    </rPh>
    <rPh sb="7" eb="8">
      <t>ガツ</t>
    </rPh>
    <rPh sb="10" eb="11">
      <t>ヒ</t>
    </rPh>
    <phoneticPr fontId="1"/>
  </si>
  <si>
    <t>3か月分/12月31日まで</t>
    <rPh sb="2" eb="4">
      <t>ゲツブン</t>
    </rPh>
    <rPh sb="7" eb="8">
      <t>ガツ</t>
    </rPh>
    <rPh sb="10" eb="11">
      <t>ヒ</t>
    </rPh>
    <phoneticPr fontId="1"/>
  </si>
  <si>
    <t>6か月分/2020年3月31日まで</t>
    <rPh sb="2" eb="4">
      <t>ゲツブン</t>
    </rPh>
    <rPh sb="9" eb="10">
      <t>ネン</t>
    </rPh>
    <rPh sb="11" eb="12">
      <t>ガツ</t>
    </rPh>
    <rPh sb="14" eb="15">
      <t>ヒ</t>
    </rPh>
    <phoneticPr fontId="1"/>
  </si>
  <si>
    <t>電車/東京⇔千葉</t>
    <rPh sb="1" eb="3">
      <t>トウキョウ</t>
    </rPh>
    <rPh sb="4" eb="6">
      <t>チバ</t>
    </rPh>
    <phoneticPr fontId="1"/>
  </si>
  <si>
    <t>バス/■■⇔千葉</t>
    <rPh sb="6" eb="8">
      <t>チバ</t>
    </rPh>
    <phoneticPr fontId="1"/>
  </si>
  <si>
    <t>1か月分/11月1日まで</t>
    <rPh sb="2" eb="4">
      <t>ゲツブン</t>
    </rPh>
    <rPh sb="7" eb="8">
      <t>ガツ</t>
    </rPh>
    <rPh sb="9" eb="10">
      <t>ヒ</t>
    </rPh>
    <phoneticPr fontId="1"/>
  </si>
  <si>
    <t>3か月分/2020年1月1日まで</t>
    <rPh sb="2" eb="4">
      <t>ゲツブン</t>
    </rPh>
    <rPh sb="9" eb="10">
      <t>ネン</t>
    </rPh>
    <rPh sb="11" eb="12">
      <t>ガツ</t>
    </rPh>
    <rPh sb="13" eb="14">
      <t>ヒ</t>
    </rPh>
    <phoneticPr fontId="1"/>
  </si>
  <si>
    <t>6か月分/2020年4月1日まで</t>
    <rPh sb="2" eb="4">
      <t>ゲツブン</t>
    </rPh>
    <rPh sb="9" eb="10">
      <t>ネン</t>
    </rPh>
    <rPh sb="11" eb="12">
      <t>ガツ</t>
    </rPh>
    <rPh sb="13" eb="14">
      <t>ヒ</t>
    </rPh>
    <phoneticPr fontId="1"/>
  </si>
  <si>
    <t>飛行機/東京⇔北海道</t>
    <rPh sb="0" eb="3">
      <t>ヒコウキ</t>
    </rPh>
    <rPh sb="4" eb="6">
      <t>トウキョウ</t>
    </rPh>
    <rPh sb="7" eb="10">
      <t>ホッカイドウ</t>
    </rPh>
    <phoneticPr fontId="1"/>
  </si>
  <si>
    <t>新幹線/東京⇔名古屋</t>
    <rPh sb="0" eb="3">
      <t>シンカンセン</t>
    </rPh>
    <rPh sb="4" eb="6">
      <t>トウキョウ</t>
    </rPh>
    <rPh sb="7" eb="10">
      <t>ナゴヤ</t>
    </rPh>
    <phoneticPr fontId="1"/>
  </si>
  <si>
    <t>契約（○○様）</t>
    <rPh sb="0" eb="2">
      <t>ケイヤク</t>
    </rPh>
    <rPh sb="3" eb="6">
      <t>マルマルサマ</t>
    </rPh>
    <phoneticPr fontId="1"/>
  </si>
  <si>
    <t>商談（○○様）</t>
    <rPh sb="0" eb="2">
      <t>ショウダン</t>
    </rPh>
    <rPh sb="3" eb="6">
      <t>マルマルサマ</t>
    </rPh>
    <phoneticPr fontId="1"/>
  </si>
  <si>
    <t>・領収書別紙添付</t>
    <rPh sb="1" eb="4">
      <t>リョウシュウショ</t>
    </rPh>
    <rPh sb="4" eb="6">
      <t>ベッシ</t>
    </rPh>
    <rPh sb="6" eb="8">
      <t>テンプ</t>
    </rPh>
    <phoneticPr fontId="1"/>
  </si>
  <si>
    <t>・出張先での移動の際の交通費は通常交通費に記載</t>
    <rPh sb="1" eb="3">
      <t>シュッチョウ</t>
    </rPh>
    <rPh sb="3" eb="4">
      <t>サキ</t>
    </rPh>
    <rPh sb="6" eb="8">
      <t>イドウ</t>
    </rPh>
    <rPh sb="9" eb="10">
      <t>サイ</t>
    </rPh>
    <rPh sb="11" eb="14">
      <t>コウツウヒ</t>
    </rPh>
    <rPh sb="15" eb="17">
      <t>ツウジョウ</t>
    </rPh>
    <rPh sb="17" eb="20">
      <t>コウツウヒ</t>
    </rPh>
    <rPh sb="21" eb="23">
      <t>キサイ</t>
    </rPh>
    <phoneticPr fontId="1"/>
  </si>
  <si>
    <t>・ここにテキスト</t>
    <phoneticPr fontId="1"/>
  </si>
  <si>
    <t>・これは例文</t>
    <rPh sb="4" eb="6">
      <t>レイブン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</si>
</sst>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円&quot;"/>
    <numFmt numFmtId="177" formatCode="yyyy&quot;年&quot;m&quot;月&quot;;@"/>
    <numFmt numFmtId="178" formatCode="[$-F800]dddd\,\ mmmm\ dd\,\ yyyy"/>
    <numFmt numFmtId="179" formatCode="m&quot;月&quot;d&quot;日&quot;;@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8"/>
      <color theme="0"/>
      <name val="游ゴシック"/>
      <family val="3"/>
      <charset val="128"/>
      <scheme val="minor"/>
    </font>
    <font>
      <b/>
      <sz val="12"/>
      <name val="ＭＳ Ｐ明朝"/>
      <family val="1"/>
      <charset val="128"/>
    </font>
    <font>
      <sz val="10"/>
      <color theme="0"/>
      <name val="游ゴシック"/>
      <family val="3"/>
      <charset val="128"/>
    </font>
    <font>
      <b/>
      <sz val="12"/>
      <name val="游ゴシック"/>
      <family val="3"/>
      <charset val="128"/>
    </font>
    <font>
      <sz val="8"/>
      <color theme="0"/>
      <name val="游ゴシック"/>
      <family val="3"/>
      <charset val="128"/>
      <scheme val="minor"/>
    </font>
    <font>
      <sz val="8"/>
      <color theme="1"/>
      <name val="游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7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9" fontId="2" fillId="0" borderId="0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17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10" fillId="0" borderId="0" xfId="0" applyFont="1">
      <alignment vertical="center"/>
    </xf>
    <xf numFmtId="0" fontId="1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176" fontId="11" fillId="0" borderId="0" xfId="0" applyNumberFormat="1" applyFont="1" applyFill="1" applyBorder="1" applyAlignment="1">
      <alignment vertical="center"/>
    </xf>
    <xf numFmtId="0" fontId="9" fillId="0" borderId="0" xfId="1" applyFont="1" applyBorder="1" applyAlignment="1">
      <alignment vertical="center"/>
    </xf>
    <xf numFmtId="0" fontId="2" fillId="0" borderId="0" xfId="0" applyFont="1" applyBorder="1">
      <alignment vertical="center"/>
    </xf>
    <xf numFmtId="0" fontId="6" fillId="6" borderId="5" xfId="0" applyFont="1" applyFill="1" applyBorder="1" applyAlignment="1">
      <alignment vertical="center" wrapText="1"/>
    </xf>
    <xf numFmtId="0" fontId="6" fillId="4" borderId="19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vertical="center" wrapText="1"/>
    </xf>
    <xf numFmtId="0" fontId="6" fillId="4" borderId="2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176" fontId="9" fillId="0" borderId="0" xfId="1" applyNumberFormat="1" applyFont="1" applyBorder="1" applyAlignment="1">
      <alignment horizontal="right" vertical="center"/>
    </xf>
    <xf numFmtId="0" fontId="14" fillId="0" borderId="0" xfId="0" applyFont="1" applyFill="1">
      <alignment vertical="center"/>
    </xf>
    <xf numFmtId="177" fontId="2" fillId="0" borderId="0" xfId="0" applyNumberFormat="1" applyFont="1" applyBorder="1" applyAlignment="1"/>
    <xf numFmtId="177" fontId="8" fillId="0" borderId="9" xfId="1" applyNumberFormat="1" applyFont="1" applyBorder="1" applyAlignment="1" applyProtection="1">
      <alignment vertical="center"/>
    </xf>
    <xf numFmtId="0" fontId="6" fillId="6" borderId="1" xfId="0" applyFont="1" applyFill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2" fillId="8" borderId="0" xfId="0" applyFont="1" applyFill="1" applyAlignment="1">
      <alignment horizontal="center" vertical="center" wrapText="1"/>
    </xf>
    <xf numFmtId="0" fontId="6" fillId="7" borderId="3" xfId="0" applyFont="1" applyFill="1" applyBorder="1" applyAlignment="1">
      <alignment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vertical="center" wrapText="1"/>
    </xf>
    <xf numFmtId="31" fontId="6" fillId="6" borderId="10" xfId="0" applyNumberFormat="1" applyFont="1" applyFill="1" applyBorder="1" applyAlignment="1">
      <alignment vertical="center" wrapText="1"/>
    </xf>
    <xf numFmtId="31" fontId="6" fillId="6" borderId="30" xfId="0" applyNumberFormat="1" applyFont="1" applyFill="1" applyBorder="1" applyAlignment="1">
      <alignment vertical="center" wrapText="1"/>
    </xf>
    <xf numFmtId="0" fontId="6" fillId="6" borderId="11" xfId="0" applyFont="1" applyFill="1" applyBorder="1" applyAlignment="1">
      <alignment vertical="center" wrapText="1"/>
    </xf>
    <xf numFmtId="177" fontId="6" fillId="6" borderId="11" xfId="0" applyNumberFormat="1" applyFont="1" applyFill="1" applyBorder="1" applyAlignment="1">
      <alignment vertical="center" wrapText="1"/>
    </xf>
    <xf numFmtId="177" fontId="6" fillId="6" borderId="15" xfId="0" applyNumberFormat="1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56" fontId="6" fillId="2" borderId="19" xfId="0" applyNumberFormat="1" applyFont="1" applyFill="1" applyBorder="1" applyAlignment="1">
      <alignment vertical="center" wrapText="1"/>
    </xf>
    <xf numFmtId="56" fontId="6" fillId="2" borderId="21" xfId="0" applyNumberFormat="1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176" fontId="6" fillId="2" borderId="10" xfId="0" applyNumberFormat="1" applyFont="1" applyFill="1" applyBorder="1" applyAlignment="1">
      <alignment vertical="center" wrapText="1"/>
    </xf>
    <xf numFmtId="176" fontId="6" fillId="2" borderId="3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56" fontId="6" fillId="3" borderId="19" xfId="0" applyNumberFormat="1" applyFont="1" applyFill="1" applyBorder="1" applyAlignment="1">
      <alignment vertical="center" wrapText="1"/>
    </xf>
    <xf numFmtId="56" fontId="6" fillId="3" borderId="21" xfId="0" applyNumberFormat="1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176" fontId="6" fillId="3" borderId="6" xfId="0" applyNumberFormat="1" applyFont="1" applyFill="1" applyBorder="1" applyAlignment="1">
      <alignment vertical="center" wrapText="1"/>
    </xf>
    <xf numFmtId="176" fontId="6" fillId="3" borderId="2" xfId="0" applyNumberFormat="1" applyFont="1" applyFill="1" applyBorder="1" applyAlignment="1">
      <alignment vertical="center" wrapText="1"/>
    </xf>
    <xf numFmtId="0" fontId="6" fillId="5" borderId="19" xfId="0" applyFont="1" applyFill="1" applyBorder="1" applyAlignment="1">
      <alignment vertical="center" wrapText="1"/>
    </xf>
    <xf numFmtId="56" fontId="6" fillId="5" borderId="19" xfId="0" applyNumberFormat="1" applyFont="1" applyFill="1" applyBorder="1" applyAlignment="1">
      <alignment vertical="center" wrapText="1"/>
    </xf>
    <xf numFmtId="56" fontId="6" fillId="5" borderId="21" xfId="0" applyNumberFormat="1" applyFont="1" applyFill="1" applyBorder="1" applyAlignment="1">
      <alignment vertical="center" wrapText="1"/>
    </xf>
    <xf numFmtId="0" fontId="6" fillId="5" borderId="10" xfId="0" applyFont="1" applyFill="1" applyBorder="1" applyAlignment="1">
      <alignment vertical="center" wrapText="1"/>
    </xf>
    <xf numFmtId="0" fontId="6" fillId="5" borderId="30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vertical="center" wrapText="1"/>
    </xf>
    <xf numFmtId="176" fontId="6" fillId="5" borderId="10" xfId="0" applyNumberFormat="1" applyFont="1" applyFill="1" applyBorder="1" applyAlignment="1">
      <alignment vertical="center" wrapText="1"/>
    </xf>
    <xf numFmtId="176" fontId="6" fillId="5" borderId="30" xfId="0" applyNumberFormat="1" applyFont="1" applyFill="1" applyBorder="1" applyAlignment="1">
      <alignment vertical="center" wrapText="1"/>
    </xf>
    <xf numFmtId="0" fontId="6" fillId="4" borderId="21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6" fillId="4" borderId="29" xfId="0" applyFont="1" applyFill="1" applyBorder="1" applyAlignment="1">
      <alignment vertical="center" wrapText="1"/>
    </xf>
    <xf numFmtId="177" fontId="8" fillId="0" borderId="7" xfId="1" applyNumberFormat="1" applyFont="1" applyBorder="1" applyAlignment="1" applyProtection="1">
      <alignment horizontal="right" vertical="center"/>
    </xf>
    <xf numFmtId="177" fontId="8" fillId="0" borderId="9" xfId="1" applyNumberFormat="1" applyFont="1" applyBorder="1" applyAlignment="1" applyProtection="1">
      <alignment horizontal="right" vertical="center"/>
    </xf>
    <xf numFmtId="0" fontId="8" fillId="0" borderId="9" xfId="1" applyFont="1" applyBorder="1" applyAlignment="1" applyProtection="1">
      <alignment horizontal="left" vertical="center"/>
    </xf>
    <xf numFmtId="0" fontId="8" fillId="0" borderId="8" xfId="1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8" fillId="0" borderId="15" xfId="1" applyFont="1" applyBorder="1" applyAlignment="1" applyProtection="1">
      <alignment horizontal="center" vertical="center" shrinkToFit="1"/>
    </xf>
    <xf numFmtId="0" fontId="8" fillId="0" borderId="17" xfId="1" applyFont="1" applyBorder="1" applyAlignment="1" applyProtection="1">
      <alignment horizontal="center" vertical="center" shrinkToFit="1"/>
    </xf>
    <xf numFmtId="0" fontId="8" fillId="0" borderId="18" xfId="1" applyFont="1" applyBorder="1" applyAlignment="1" applyProtection="1">
      <alignment horizontal="center" vertical="center" shrinkToFit="1"/>
    </xf>
    <xf numFmtId="0" fontId="8" fillId="9" borderId="23" xfId="1" applyFont="1" applyFill="1" applyBorder="1" applyAlignment="1" applyProtection="1">
      <alignment horizontal="center" vertical="center" shrinkToFit="1"/>
    </xf>
    <xf numFmtId="0" fontId="8" fillId="9" borderId="24" xfId="1" applyFont="1" applyFill="1" applyBorder="1" applyAlignment="1" applyProtection="1">
      <alignment horizontal="center" vertical="center" shrinkToFit="1"/>
    </xf>
    <xf numFmtId="176" fontId="9" fillId="9" borderId="15" xfId="1" applyNumberFormat="1" applyFont="1" applyFill="1" applyBorder="1" applyAlignment="1">
      <alignment horizontal="right" vertical="center"/>
    </xf>
    <xf numFmtId="176" fontId="9" fillId="9" borderId="17" xfId="1" applyNumberFormat="1" applyFont="1" applyFill="1" applyBorder="1" applyAlignment="1">
      <alignment horizontal="right" vertical="center"/>
    </xf>
    <xf numFmtId="176" fontId="9" fillId="9" borderId="18" xfId="1" applyNumberFormat="1" applyFont="1" applyFill="1" applyBorder="1" applyAlignment="1">
      <alignment horizontal="right" vertical="center"/>
    </xf>
    <xf numFmtId="176" fontId="9" fillId="0" borderId="15" xfId="1" applyNumberFormat="1" applyFont="1" applyBorder="1" applyAlignment="1">
      <alignment horizontal="right" vertical="center"/>
    </xf>
    <xf numFmtId="176" fontId="9" fillId="0" borderId="17" xfId="1" applyNumberFormat="1" applyFont="1" applyBorder="1" applyAlignment="1">
      <alignment horizontal="right" vertical="center"/>
    </xf>
    <xf numFmtId="176" fontId="9" fillId="0" borderId="18" xfId="1" applyNumberFormat="1" applyFont="1" applyBorder="1" applyAlignment="1">
      <alignment horizontal="right" vertical="center"/>
    </xf>
    <xf numFmtId="0" fontId="8" fillId="0" borderId="4" xfId="1" applyFont="1" applyBorder="1" applyAlignment="1">
      <alignment horizontal="distributed" vertical="center" justifyLastLine="1"/>
    </xf>
    <xf numFmtId="0" fontId="8" fillId="9" borderId="29" xfId="1" applyFont="1" applyFill="1" applyBorder="1" applyAlignment="1" applyProtection="1">
      <alignment horizontal="center" vertical="center" shrinkToFit="1"/>
    </xf>
    <xf numFmtId="0" fontId="13" fillId="0" borderId="0" xfId="1" applyFont="1" applyBorder="1" applyAlignment="1">
      <alignment horizontal="right" vertical="center" justifyLastLine="1"/>
    </xf>
    <xf numFmtId="0" fontId="8" fillId="9" borderId="15" xfId="1" applyFont="1" applyFill="1" applyBorder="1" applyAlignment="1" applyProtection="1">
      <alignment horizontal="center" vertical="center" shrinkToFit="1"/>
    </xf>
    <xf numFmtId="0" fontId="8" fillId="9" borderId="17" xfId="1" applyFont="1" applyFill="1" applyBorder="1" applyAlignment="1" applyProtection="1">
      <alignment horizontal="center" vertical="center" shrinkToFit="1"/>
    </xf>
    <xf numFmtId="0" fontId="8" fillId="9" borderId="18" xfId="1" applyFont="1" applyFill="1" applyBorder="1" applyAlignment="1" applyProtection="1">
      <alignment horizontal="center" vertical="center" shrinkToFit="1"/>
    </xf>
    <xf numFmtId="176" fontId="9" fillId="9" borderId="16" xfId="1" applyNumberFormat="1" applyFont="1" applyFill="1" applyBorder="1" applyAlignment="1">
      <alignment horizontal="right" vertical="center"/>
    </xf>
    <xf numFmtId="176" fontId="9" fillId="9" borderId="25" xfId="1" applyNumberFormat="1" applyFont="1" applyFill="1" applyBorder="1" applyAlignment="1">
      <alignment horizontal="right" vertical="center"/>
    </xf>
    <xf numFmtId="176" fontId="9" fillId="9" borderId="26" xfId="1" applyNumberFormat="1" applyFont="1" applyFill="1" applyBorder="1" applyAlignment="1">
      <alignment horizontal="right" vertical="center"/>
    </xf>
    <xf numFmtId="176" fontId="9" fillId="0" borderId="31" xfId="1" applyNumberFormat="1" applyFont="1" applyBorder="1" applyAlignment="1">
      <alignment horizontal="right" vertical="center"/>
    </xf>
    <xf numFmtId="176" fontId="9" fillId="0" borderId="32" xfId="1" applyNumberFormat="1" applyFont="1" applyBorder="1" applyAlignment="1">
      <alignment horizontal="right" vertical="center"/>
    </xf>
    <xf numFmtId="176" fontId="9" fillId="0" borderId="33" xfId="1" applyNumberFormat="1" applyFont="1" applyBorder="1" applyAlignment="1">
      <alignment horizontal="right" vertical="center"/>
    </xf>
    <xf numFmtId="0" fontId="8" fillId="0" borderId="23" xfId="1" applyFont="1" applyBorder="1" applyAlignment="1" applyProtection="1">
      <alignment horizontal="center" vertical="center" shrinkToFit="1"/>
    </xf>
    <xf numFmtId="0" fontId="8" fillId="0" borderId="24" xfId="1" applyFont="1" applyBorder="1" applyAlignment="1" applyProtection="1">
      <alignment horizontal="center" vertical="center" shrinkToFit="1"/>
    </xf>
    <xf numFmtId="176" fontId="9" fillId="0" borderId="29" xfId="1" applyNumberFormat="1" applyFont="1" applyBorder="1" applyAlignment="1">
      <alignment horizontal="right" vertical="center"/>
    </xf>
    <xf numFmtId="176" fontId="9" fillId="0" borderId="23" xfId="1" applyNumberFormat="1" applyFont="1" applyBorder="1" applyAlignment="1">
      <alignment horizontal="right" vertical="center"/>
    </xf>
    <xf numFmtId="176" fontId="9" fillId="0" borderId="24" xfId="1" applyNumberFormat="1" applyFont="1" applyBorder="1" applyAlignment="1">
      <alignment horizontal="right" vertical="center"/>
    </xf>
    <xf numFmtId="176" fontId="9" fillId="0" borderId="21" xfId="1" applyNumberFormat="1" applyFont="1" applyBorder="1" applyAlignment="1">
      <alignment horizontal="right" vertical="center"/>
    </xf>
    <xf numFmtId="176" fontId="9" fillId="0" borderId="22" xfId="1" applyNumberFormat="1" applyFont="1" applyBorder="1" applyAlignment="1">
      <alignment horizontal="right" vertical="center"/>
    </xf>
    <xf numFmtId="176" fontId="9" fillId="0" borderId="28" xfId="1" applyNumberFormat="1" applyFont="1" applyBorder="1" applyAlignment="1">
      <alignment horizontal="right" vertical="center"/>
    </xf>
    <xf numFmtId="0" fontId="8" fillId="0" borderId="9" xfId="1" applyFont="1" applyBorder="1" applyAlignment="1">
      <alignment horizontal="distributed" vertical="center" justifyLastLine="1"/>
    </xf>
    <xf numFmtId="0" fontId="8" fillId="0" borderId="8" xfId="1" applyFont="1" applyBorder="1" applyAlignment="1">
      <alignment horizontal="distributed" vertical="center" justifyLastLine="1"/>
    </xf>
    <xf numFmtId="0" fontId="8" fillId="0" borderId="22" xfId="1" applyFont="1" applyBorder="1" applyAlignment="1" applyProtection="1">
      <alignment horizontal="center" vertical="center" shrinkToFit="1"/>
    </xf>
    <xf numFmtId="0" fontId="8" fillId="0" borderId="28" xfId="1" applyFont="1" applyBorder="1" applyAlignment="1" applyProtection="1">
      <alignment horizontal="center" vertical="center" shrinkToFit="1"/>
    </xf>
    <xf numFmtId="0" fontId="8" fillId="0" borderId="21" xfId="1" applyFont="1" applyBorder="1" applyAlignment="1" applyProtection="1">
      <alignment horizontal="center" vertical="center" shrinkToFit="1"/>
    </xf>
    <xf numFmtId="0" fontId="8" fillId="0" borderId="7" xfId="1" applyFont="1" applyBorder="1" applyAlignment="1">
      <alignment horizontal="distributed" vertical="center" justifyLastLine="1"/>
    </xf>
    <xf numFmtId="176" fontId="9" fillId="9" borderId="29" xfId="1" applyNumberFormat="1" applyFont="1" applyFill="1" applyBorder="1" applyAlignment="1">
      <alignment horizontal="right" vertical="center"/>
    </xf>
    <xf numFmtId="176" fontId="9" fillId="9" borderId="23" xfId="1" applyNumberFormat="1" applyFont="1" applyFill="1" applyBorder="1" applyAlignment="1">
      <alignment horizontal="right" vertical="center"/>
    </xf>
    <xf numFmtId="176" fontId="9" fillId="9" borderId="24" xfId="1" applyNumberFormat="1" applyFont="1" applyFill="1" applyBorder="1" applyAlignment="1">
      <alignment horizontal="right" vertical="center"/>
    </xf>
    <xf numFmtId="179" fontId="8" fillId="0" borderId="15" xfId="1" applyNumberFormat="1" applyFont="1" applyBorder="1" applyAlignment="1" applyProtection="1">
      <alignment horizontal="left" vertical="center"/>
    </xf>
    <xf numFmtId="179" fontId="8" fillId="0" borderId="17" xfId="1" applyNumberFormat="1" applyFont="1" applyBorder="1" applyAlignment="1" applyProtection="1">
      <alignment horizontal="left" vertical="center"/>
    </xf>
    <xf numFmtId="179" fontId="8" fillId="9" borderId="15" xfId="1" applyNumberFormat="1" applyFont="1" applyFill="1" applyBorder="1" applyAlignment="1" applyProtection="1">
      <alignment horizontal="left" vertical="center"/>
    </xf>
    <xf numFmtId="179" fontId="8" fillId="9" borderId="17" xfId="1" applyNumberFormat="1" applyFont="1" applyFill="1" applyBorder="1" applyAlignment="1" applyProtection="1">
      <alignment horizontal="left" vertical="center"/>
    </xf>
    <xf numFmtId="0" fontId="2" fillId="0" borderId="4" xfId="0" applyFont="1" applyBorder="1" applyAlignment="1">
      <alignment horizontal="center" vertical="center" textRotation="255"/>
    </xf>
    <xf numFmtId="0" fontId="2" fillId="0" borderId="27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8" fillId="0" borderId="29" xfId="1" applyFont="1" applyBorder="1" applyAlignment="1" applyProtection="1">
      <alignment horizontal="center" vertical="center" shrinkToFit="1"/>
    </xf>
    <xf numFmtId="0" fontId="8" fillId="0" borderId="7" xfId="1" applyFont="1" applyBorder="1" applyAlignment="1" applyProtection="1">
      <alignment horizontal="center" vertical="center"/>
      <protection locked="0"/>
    </xf>
    <xf numFmtId="0" fontId="8" fillId="0" borderId="9" xfId="1" applyFont="1" applyBorder="1" applyAlignment="1" applyProtection="1">
      <alignment horizontal="center" vertical="center"/>
      <protection locked="0"/>
    </xf>
    <xf numFmtId="179" fontId="8" fillId="0" borderId="21" xfId="1" applyNumberFormat="1" applyFont="1" applyBorder="1" applyAlignment="1" applyProtection="1">
      <alignment horizontal="left" vertical="center"/>
    </xf>
    <xf numFmtId="179" fontId="8" fillId="0" borderId="22" xfId="1" applyNumberFormat="1" applyFont="1" applyBorder="1" applyAlignment="1" applyProtection="1">
      <alignment horizontal="left" vertical="center"/>
    </xf>
    <xf numFmtId="179" fontId="8" fillId="9" borderId="18" xfId="1" applyNumberFormat="1" applyFont="1" applyFill="1" applyBorder="1" applyAlignment="1" applyProtection="1">
      <alignment horizontal="left" vertical="center"/>
    </xf>
    <xf numFmtId="0" fontId="8" fillId="0" borderId="4" xfId="1" applyFont="1" applyBorder="1" applyAlignment="1">
      <alignment horizontal="center" vertical="center" justifyLastLine="1"/>
    </xf>
    <xf numFmtId="0" fontId="8" fillId="0" borderId="7" xfId="1" applyFont="1" applyBorder="1" applyAlignment="1">
      <alignment horizontal="center" vertical="center" justifyLastLine="1"/>
    </xf>
    <xf numFmtId="0" fontId="2" fillId="0" borderId="29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9" fontId="8" fillId="9" borderId="29" xfId="1" applyNumberFormat="1" applyFont="1" applyFill="1" applyBorder="1" applyAlignment="1" applyProtection="1">
      <alignment horizontal="left" vertical="center"/>
    </xf>
    <xf numFmtId="179" fontId="8" fillId="9" borderId="23" xfId="1" applyNumberFormat="1" applyFont="1" applyFill="1" applyBorder="1" applyAlignment="1" applyProtection="1">
      <alignment horizontal="left" vertical="center"/>
    </xf>
    <xf numFmtId="179" fontId="8" fillId="0" borderId="29" xfId="1" applyNumberFormat="1" applyFont="1" applyBorder="1" applyAlignment="1" applyProtection="1">
      <alignment horizontal="left" vertical="center"/>
    </xf>
    <xf numFmtId="179" fontId="8" fillId="0" borderId="23" xfId="1" applyNumberFormat="1" applyFont="1" applyBorder="1" applyAlignment="1" applyProtection="1">
      <alignment horizontal="left" vertical="center"/>
    </xf>
    <xf numFmtId="0" fontId="8" fillId="0" borderId="9" xfId="1" applyFont="1" applyBorder="1" applyAlignment="1">
      <alignment horizontal="center" vertical="center" justifyLastLine="1"/>
    </xf>
    <xf numFmtId="0" fontId="2" fillId="0" borderId="9" xfId="0" applyFont="1" applyBorder="1" applyAlignment="1">
      <alignment horizontal="left" vertical="center"/>
    </xf>
    <xf numFmtId="0" fontId="14" fillId="7" borderId="7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15" fillId="0" borderId="0" xfId="0" applyFont="1" applyFill="1" applyAlignment="1">
      <alignment horizontal="distributed" vertical="center" justifyLastLine="1"/>
    </xf>
    <xf numFmtId="0" fontId="2" fillId="0" borderId="0" xfId="0" applyFont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0" borderId="0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shrinkToFit="1"/>
    </xf>
    <xf numFmtId="0" fontId="6" fillId="3" borderId="4" xfId="0" applyFont="1" applyFill="1" applyBorder="1" applyAlignment="1">
      <alignment horizontal="center" vertical="center" textRotation="255" wrapText="1"/>
    </xf>
    <xf numFmtId="0" fontId="6" fillId="5" borderId="4" xfId="0" applyFont="1" applyFill="1" applyBorder="1" applyAlignment="1">
      <alignment horizontal="center" vertical="center" textRotation="255" shrinkToFit="1"/>
    </xf>
    <xf numFmtId="0" fontId="6" fillId="4" borderId="4" xfId="0" applyFont="1" applyFill="1" applyBorder="1" applyAlignment="1">
      <alignment horizontal="center" vertical="center" textRotation="255" wrapText="1"/>
    </xf>
    <xf numFmtId="0" fontId="6" fillId="6" borderId="27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textRotation="255" wrapText="1"/>
    </xf>
  </cellXfs>
  <cellStyles count="2">
    <cellStyle name="標準" xfId="0" builtinId="0"/>
    <cellStyle name="標準_出金処理依頼書（見本）" xfId="1" xr:uid="{9B70FDEF-3BBE-4B91-9AEE-D523C49807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15151033-48E5-4A34-A256-8FE1F4C5D0A6}"/>
            </a:ext>
          </a:extLst>
        </xdr:cNvPr>
        <xdr:cNvSpPr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93DDC041-7D2E-4200-9033-D5CB2704CE89}"/>
            </a:ext>
          </a:extLst>
        </xdr:cNvPr>
        <xdr:cNvSpPr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5" name="Rectangle 3">
          <a:extLst>
            <a:ext uri="{FF2B5EF4-FFF2-40B4-BE49-F238E27FC236}">
              <a16:creationId xmlns:a16="http://schemas.microsoft.com/office/drawing/2014/main" id="{D26A423F-370F-44C9-86DC-C0647DBD2F35}"/>
            </a:ext>
          </a:extLst>
        </xdr:cNvPr>
        <xdr:cNvSpPr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ABE175F7-43C9-49A2-8CAB-391497617E15}"/>
            </a:ext>
          </a:extLst>
        </xdr:cNvPr>
        <xdr:cNvSpPr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7" name="テキスト 56">
          <a:extLst>
            <a:ext uri="{FF2B5EF4-FFF2-40B4-BE49-F238E27FC236}">
              <a16:creationId xmlns:a16="http://schemas.microsoft.com/office/drawing/2014/main" id="{7CBE269B-1EEA-49BD-A2A6-B7968DD4AC9A}"/>
            </a:ext>
          </a:extLst>
        </xdr:cNvPr>
        <xdr:cNvSpPr txBox="1"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8" name="テキスト 57">
          <a:extLst>
            <a:ext uri="{FF2B5EF4-FFF2-40B4-BE49-F238E27FC236}">
              <a16:creationId xmlns:a16="http://schemas.microsoft.com/office/drawing/2014/main" id="{385F6E5A-22E1-40C7-B715-66C5A20C4849}"/>
            </a:ext>
          </a:extLst>
        </xdr:cNvPr>
        <xdr:cNvSpPr txBox="1"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処理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BF32D-7FC0-40CB-B9CC-8EC7D9CA3613}">
  <sheetPr codeName="Sheet1"/>
  <dimension ref="A1:W61"/>
  <sheetViews>
    <sheetView showZeros="0" tabSelected="1" workbookViewId="0">
      <selection activeCell="X41" sqref="X41"/>
    </sheetView>
  </sheetViews>
  <sheetFormatPr defaultColWidth="4.375" defaultRowHeight="16.5" customHeight="1" x14ac:dyDescent="0.4"/>
  <cols>
    <col min="1" max="16384" width="4.375" style="1"/>
  </cols>
  <sheetData>
    <row r="1" spans="1:23" ht="16.5" customHeight="1" x14ac:dyDescent="0.4">
      <c r="A1" s="28"/>
      <c r="B1" s="28"/>
      <c r="C1" s="28"/>
      <c r="D1" s="28"/>
      <c r="E1" s="158" t="s">
        <v>54</v>
      </c>
      <c r="F1" s="158"/>
      <c r="G1" s="158"/>
      <c r="H1" s="158"/>
      <c r="I1" s="158"/>
      <c r="J1" s="158"/>
      <c r="K1" s="158"/>
      <c r="L1" s="158"/>
      <c r="M1" s="158"/>
      <c r="N1" s="158"/>
      <c r="O1" s="28"/>
      <c r="P1" s="28"/>
      <c r="Q1" s="28"/>
      <c r="R1" s="28"/>
      <c r="S1" s="28"/>
    </row>
    <row r="2" spans="1:23" ht="16.5" customHeight="1" x14ac:dyDescent="0.4">
      <c r="A2" s="2"/>
      <c r="B2" s="2"/>
      <c r="C2" s="2"/>
      <c r="D2" s="2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3"/>
      <c r="P2" s="3"/>
      <c r="Q2" s="4"/>
      <c r="R2" s="4"/>
      <c r="S2" s="4"/>
      <c r="U2" s="154" t="s">
        <v>60</v>
      </c>
      <c r="V2" s="154"/>
      <c r="W2" s="154"/>
    </row>
    <row r="3" spans="1:23" ht="16.5" customHeight="1" x14ac:dyDescent="0.4">
      <c r="L3" s="17"/>
      <c r="M3" s="17"/>
      <c r="N3" s="159" t="s">
        <v>53</v>
      </c>
      <c r="O3" s="159"/>
      <c r="P3" s="159"/>
      <c r="Q3" s="160">
        <f>HLOOKUP($U$3,入力シート!$D$5:$ZZ$104,2,FALSE)</f>
        <v>43770</v>
      </c>
      <c r="R3" s="160"/>
      <c r="S3" s="160"/>
      <c r="U3" s="151">
        <v>201910</v>
      </c>
      <c r="V3" s="152"/>
      <c r="W3" s="153"/>
    </row>
    <row r="4" spans="1:23" ht="16.5" customHeight="1" x14ac:dyDescent="0.4">
      <c r="L4" s="17"/>
      <c r="M4" s="17"/>
      <c r="N4" s="17"/>
      <c r="O4" s="17"/>
      <c r="P4" s="17"/>
      <c r="Q4" s="26"/>
      <c r="R4" s="26"/>
      <c r="S4" s="26"/>
    </row>
    <row r="5" spans="1:23" ht="16.5" customHeight="1" x14ac:dyDescent="0.4">
      <c r="A5" s="156" t="s">
        <v>58</v>
      </c>
      <c r="B5" s="156"/>
      <c r="C5" s="156"/>
      <c r="D5" s="157" t="str">
        <f>入力シート!C2</f>
        <v>営業1部営業２課</v>
      </c>
      <c r="E5" s="157"/>
      <c r="F5" s="157"/>
      <c r="G5" s="157"/>
      <c r="H5" s="157"/>
      <c r="I5" s="26"/>
      <c r="J5" s="26"/>
      <c r="K5" s="17"/>
      <c r="L5" s="17"/>
      <c r="M5" s="17"/>
      <c r="N5" s="155"/>
      <c r="O5" s="155"/>
      <c r="P5" s="155"/>
      <c r="Q5" s="155"/>
      <c r="R5" s="155"/>
      <c r="S5" s="155"/>
    </row>
    <row r="6" spans="1:23" ht="16.5" customHeight="1" x14ac:dyDescent="0.4">
      <c r="A6" s="156" t="s">
        <v>59</v>
      </c>
      <c r="B6" s="156"/>
      <c r="C6" s="156"/>
      <c r="D6" s="150" t="str">
        <f>入力シート!C3</f>
        <v>営業　好太郎</v>
      </c>
      <c r="E6" s="150"/>
      <c r="F6" s="150"/>
      <c r="G6" s="150"/>
      <c r="H6" s="150"/>
      <c r="I6" s="26"/>
      <c r="J6" s="26"/>
      <c r="K6" s="17"/>
      <c r="L6" s="17"/>
      <c r="M6" s="17"/>
      <c r="N6" s="155"/>
      <c r="O6" s="155"/>
      <c r="P6" s="155"/>
      <c r="Q6" s="155"/>
      <c r="R6" s="155"/>
      <c r="S6" s="155"/>
    </row>
    <row r="7" spans="1:23" ht="16.5" customHeight="1" x14ac:dyDescent="0.4"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5"/>
      <c r="O7" s="155"/>
      <c r="P7" s="155"/>
      <c r="Q7" s="155"/>
      <c r="R7" s="155"/>
      <c r="S7" s="155"/>
    </row>
    <row r="8" spans="1:23" ht="16.5" customHeight="1" x14ac:dyDescent="0.4">
      <c r="A8" s="144" t="s">
        <v>55</v>
      </c>
      <c r="B8" s="144"/>
      <c r="C8" s="144"/>
      <c r="D8" s="144"/>
      <c r="E8" s="144"/>
      <c r="F8" s="144"/>
      <c r="G8" s="144"/>
      <c r="H8" s="144"/>
      <c r="I8" s="144"/>
      <c r="J8" s="144"/>
      <c r="K8" s="11"/>
      <c r="L8" s="11"/>
      <c r="M8" s="11"/>
      <c r="N8" s="155"/>
      <c r="O8" s="155"/>
      <c r="P8" s="155"/>
      <c r="Q8" s="155"/>
      <c r="R8" s="155"/>
      <c r="S8" s="155"/>
    </row>
    <row r="9" spans="1:23" ht="16.5" customHeight="1" x14ac:dyDescent="0.4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2"/>
    </row>
    <row r="10" spans="1:23" ht="16.5" customHeight="1" x14ac:dyDescent="0.35">
      <c r="A10" s="29"/>
      <c r="B10" s="73">
        <f>HLOOKUP($U$3,入力シート!$D$5:$ZZ$104,3,FALSE)</f>
        <v>43739</v>
      </c>
      <c r="C10" s="74"/>
      <c r="D10" s="74"/>
      <c r="E10" s="30" t="s">
        <v>64</v>
      </c>
      <c r="F10" s="73" t="s">
        <v>62</v>
      </c>
      <c r="G10" s="74"/>
      <c r="H10" s="75" t="str">
        <f>HLOOKUP($U$3,入力シート!$D$5:$ZZ$104,4,FALSE)</f>
        <v>2019年10月1日～31日</v>
      </c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1:23" ht="16.5" customHeight="1" x14ac:dyDescent="0.4">
      <c r="A11" s="128" t="s">
        <v>2</v>
      </c>
      <c r="B11" s="138" t="s">
        <v>7</v>
      </c>
      <c r="C11" s="139"/>
      <c r="D11" s="120" t="s">
        <v>8</v>
      </c>
      <c r="E11" s="115"/>
      <c r="F11" s="115"/>
      <c r="G11" s="115"/>
      <c r="H11" s="115"/>
      <c r="I11" s="115"/>
      <c r="J11" s="116"/>
      <c r="K11" s="115" t="s">
        <v>0</v>
      </c>
      <c r="L11" s="115"/>
      <c r="M11" s="115"/>
      <c r="N11" s="115"/>
      <c r="O11" s="116"/>
      <c r="P11" s="95" t="s">
        <v>1</v>
      </c>
      <c r="Q11" s="95"/>
      <c r="R11" s="95"/>
      <c r="S11" s="95"/>
    </row>
    <row r="12" spans="1:23" ht="16.5" customHeight="1" x14ac:dyDescent="0.4">
      <c r="A12" s="128"/>
      <c r="B12" s="135">
        <f>HLOOKUP($U$3,入力シート!$D$5:$ZZ$104,5,FALSE)</f>
        <v>43739</v>
      </c>
      <c r="C12" s="136"/>
      <c r="D12" s="119" t="str">
        <f>HLOOKUP($U$3,入力シート!$D$5:$ZZ$104,6,FALSE)</f>
        <v>電車/東京⇔新宿</v>
      </c>
      <c r="E12" s="117"/>
      <c r="F12" s="117"/>
      <c r="G12" s="117"/>
      <c r="H12" s="117"/>
      <c r="I12" s="117"/>
      <c r="J12" s="118"/>
      <c r="K12" s="117" t="str">
        <f>HLOOKUP($U$3,入力シート!$D$5:$ZZ$104,7,FALSE)</f>
        <v>営業（○○様）</v>
      </c>
      <c r="L12" s="117"/>
      <c r="M12" s="117"/>
      <c r="N12" s="117"/>
      <c r="O12" s="118"/>
      <c r="P12" s="112">
        <f>HLOOKUP($U$3,入力シート!$D$5:$ZZ$104,8,FALSE)</f>
        <v>500</v>
      </c>
      <c r="Q12" s="113"/>
      <c r="R12" s="113"/>
      <c r="S12" s="114"/>
    </row>
    <row r="13" spans="1:23" ht="16.5" customHeight="1" x14ac:dyDescent="0.4">
      <c r="A13" s="128"/>
      <c r="B13" s="126">
        <f>HLOOKUP($U$3,入力シート!$D$5:$ZZ$104,9,FALSE)</f>
        <v>43741</v>
      </c>
      <c r="C13" s="137"/>
      <c r="D13" s="98" t="str">
        <f>HLOOKUP($U$3,入力シート!$D$5:$ZZ$104,10,FALSE)</f>
        <v>電車/東京→新宿→中野→東京</v>
      </c>
      <c r="E13" s="99"/>
      <c r="F13" s="99"/>
      <c r="G13" s="99"/>
      <c r="H13" s="99"/>
      <c r="I13" s="99"/>
      <c r="J13" s="100"/>
      <c r="K13" s="99" t="str">
        <f>HLOOKUP($U$3,入力シート!$D$5:$ZZ$104,11,FALSE)</f>
        <v>営業（○○様→●●様）</v>
      </c>
      <c r="L13" s="99"/>
      <c r="M13" s="99"/>
      <c r="N13" s="99"/>
      <c r="O13" s="100"/>
      <c r="P13" s="89">
        <f>HLOOKUP($U$3,入力シート!$D$5:$ZZ$104,12,FALSE)</f>
        <v>500</v>
      </c>
      <c r="Q13" s="90"/>
      <c r="R13" s="90"/>
      <c r="S13" s="91"/>
    </row>
    <row r="14" spans="1:23" ht="16.5" customHeight="1" x14ac:dyDescent="0.4">
      <c r="A14" s="128"/>
      <c r="B14" s="124">
        <f>HLOOKUP($U$3,入力シート!$D$5:$ZZ$104,13,FALSE)</f>
        <v>43744</v>
      </c>
      <c r="C14" s="125"/>
      <c r="D14" s="84" t="str">
        <f>HLOOKUP($U$3,入力シート!$D$5:$ZZ$104,14,FALSE)</f>
        <v>電車/東京⇔新宿</v>
      </c>
      <c r="E14" s="85"/>
      <c r="F14" s="85"/>
      <c r="G14" s="85"/>
      <c r="H14" s="85"/>
      <c r="I14" s="85"/>
      <c r="J14" s="86"/>
      <c r="K14" s="85" t="str">
        <f>HLOOKUP($U$3,入力シート!$D$5:$ZZ$104,15,FALSE)</f>
        <v>営業（○○様）</v>
      </c>
      <c r="L14" s="85"/>
      <c r="M14" s="85"/>
      <c r="N14" s="85"/>
      <c r="O14" s="86"/>
      <c r="P14" s="92">
        <f>HLOOKUP($U$3,入力シート!$D$5:$ZZ$104,16,FALSE)</f>
        <v>500</v>
      </c>
      <c r="Q14" s="93"/>
      <c r="R14" s="93"/>
      <c r="S14" s="94"/>
    </row>
    <row r="15" spans="1:23" ht="16.5" customHeight="1" x14ac:dyDescent="0.4">
      <c r="A15" s="128"/>
      <c r="B15" s="126">
        <f>HLOOKUP($U$3,入力シート!$D$5:$ZZ$104,17,FALSE)</f>
        <v>43747</v>
      </c>
      <c r="C15" s="127"/>
      <c r="D15" s="98" t="str">
        <f>HLOOKUP($U$3,入力シート!$D$5:$ZZ$104,18,FALSE)</f>
        <v>電車/東京⇔新宿</v>
      </c>
      <c r="E15" s="99"/>
      <c r="F15" s="99"/>
      <c r="G15" s="99"/>
      <c r="H15" s="99"/>
      <c r="I15" s="99"/>
      <c r="J15" s="100"/>
      <c r="K15" s="99" t="str">
        <f>HLOOKUP($U$3,入力シート!$D$5:$ZZ$104,19,FALSE)</f>
        <v>営業（○○様）</v>
      </c>
      <c r="L15" s="99"/>
      <c r="M15" s="99"/>
      <c r="N15" s="99"/>
      <c r="O15" s="100"/>
      <c r="P15" s="89">
        <f>HLOOKUP($U$3,入力シート!$D$5:$ZZ$104,20,FALSE)</f>
        <v>500</v>
      </c>
      <c r="Q15" s="90"/>
      <c r="R15" s="90"/>
      <c r="S15" s="91"/>
    </row>
    <row r="16" spans="1:23" ht="16.5" customHeight="1" x14ac:dyDescent="0.4">
      <c r="A16" s="128"/>
      <c r="B16" s="124">
        <f>HLOOKUP($U$3,入力シート!$D$5:$ZZ$104,21,FALSE)</f>
        <v>43750</v>
      </c>
      <c r="C16" s="125"/>
      <c r="D16" s="84" t="str">
        <f>HLOOKUP($U$3,入力シート!$D$5:$ZZ$104,22,FALSE)</f>
        <v>電車/東京⇔新宿</v>
      </c>
      <c r="E16" s="85"/>
      <c r="F16" s="85"/>
      <c r="G16" s="85"/>
      <c r="H16" s="85"/>
      <c r="I16" s="85"/>
      <c r="J16" s="86"/>
      <c r="K16" s="85" t="str">
        <f>HLOOKUP($U$3,入力シート!$D$5:$ZZ$104,23,FALSE)</f>
        <v>営業（○○様）</v>
      </c>
      <c r="L16" s="85"/>
      <c r="M16" s="85"/>
      <c r="N16" s="85"/>
      <c r="O16" s="86"/>
      <c r="P16" s="92">
        <f>HLOOKUP($U$3,入力シート!$D$5:$ZZ$104,24,FALSE)</f>
        <v>500</v>
      </c>
      <c r="Q16" s="93"/>
      <c r="R16" s="93"/>
      <c r="S16" s="94"/>
    </row>
    <row r="17" spans="1:19" ht="16.5" customHeight="1" x14ac:dyDescent="0.4">
      <c r="A17" s="128"/>
      <c r="B17" s="126">
        <f>HLOOKUP($U$3,入力シート!$D$5:$ZZ$104,25,FALSE)</f>
        <v>43753</v>
      </c>
      <c r="C17" s="127"/>
      <c r="D17" s="98" t="str">
        <f>HLOOKUP($U$3,入力シート!$D$5:$ZZ$104,26,FALSE)</f>
        <v>電車/東京⇔新宿</v>
      </c>
      <c r="E17" s="99"/>
      <c r="F17" s="99"/>
      <c r="G17" s="99"/>
      <c r="H17" s="99"/>
      <c r="I17" s="99"/>
      <c r="J17" s="100"/>
      <c r="K17" s="99" t="str">
        <f>HLOOKUP($U$3,入力シート!$D$5:$ZZ$104,27,FALSE)</f>
        <v>営業（○○様）</v>
      </c>
      <c r="L17" s="99"/>
      <c r="M17" s="99"/>
      <c r="N17" s="99"/>
      <c r="O17" s="100"/>
      <c r="P17" s="89">
        <f>HLOOKUP($U$3,入力シート!$D$5:$ZZ$104,28,FALSE)</f>
        <v>500</v>
      </c>
      <c r="Q17" s="90"/>
      <c r="R17" s="90"/>
      <c r="S17" s="91"/>
    </row>
    <row r="18" spans="1:19" ht="16.5" customHeight="1" x14ac:dyDescent="0.4">
      <c r="A18" s="128"/>
      <c r="B18" s="124">
        <f>HLOOKUP($U$3,入力シート!$D$5:$ZZ$104,29,FALSE)</f>
        <v>43756</v>
      </c>
      <c r="C18" s="125"/>
      <c r="D18" s="84" t="str">
        <f>HLOOKUP($U$3,入力シート!$D$5:$ZZ$104,30,FALSE)</f>
        <v>電車/東京⇔新宿</v>
      </c>
      <c r="E18" s="85"/>
      <c r="F18" s="85"/>
      <c r="G18" s="85"/>
      <c r="H18" s="85"/>
      <c r="I18" s="85"/>
      <c r="J18" s="86"/>
      <c r="K18" s="85" t="str">
        <f>HLOOKUP($U$3,入力シート!$D$5:$ZZ$104,31,FALSE)</f>
        <v>営業（○○様）</v>
      </c>
      <c r="L18" s="85"/>
      <c r="M18" s="85"/>
      <c r="N18" s="85"/>
      <c r="O18" s="86"/>
      <c r="P18" s="92">
        <f>HLOOKUP($U$3,入力シート!$D$5:$ZZ$104,32,FALSE)</f>
        <v>500</v>
      </c>
      <c r="Q18" s="93"/>
      <c r="R18" s="93"/>
      <c r="S18" s="94"/>
    </row>
    <row r="19" spans="1:19" ht="16.5" customHeight="1" x14ac:dyDescent="0.4">
      <c r="A19" s="128"/>
      <c r="B19" s="126">
        <f>HLOOKUP($U$3,入力シート!$D$5:$ZZ$104,33,FALSE)</f>
        <v>43759</v>
      </c>
      <c r="C19" s="127"/>
      <c r="D19" s="98" t="str">
        <f>HLOOKUP($U$3,入力シート!$D$5:$ZZ$104,34,FALSE)</f>
        <v>電車/東京⇔新宿</v>
      </c>
      <c r="E19" s="99"/>
      <c r="F19" s="99"/>
      <c r="G19" s="99"/>
      <c r="H19" s="99"/>
      <c r="I19" s="99"/>
      <c r="J19" s="100"/>
      <c r="K19" s="99" t="str">
        <f>HLOOKUP($U$3,入力シート!$D$5:$ZZ$104,35,FALSE)</f>
        <v>営業（○○様）</v>
      </c>
      <c r="L19" s="99"/>
      <c r="M19" s="99"/>
      <c r="N19" s="99"/>
      <c r="O19" s="100"/>
      <c r="P19" s="89">
        <f>HLOOKUP($U$3,入力シート!$D$5:$ZZ$104,36,FALSE)</f>
        <v>500</v>
      </c>
      <c r="Q19" s="90"/>
      <c r="R19" s="90"/>
      <c r="S19" s="91"/>
    </row>
    <row r="20" spans="1:19" ht="16.5" customHeight="1" x14ac:dyDescent="0.4">
      <c r="A20" s="128"/>
      <c r="B20" s="124">
        <f>HLOOKUP($U$3,入力シート!$D$5:$ZZ$104,37,FALSE)</f>
        <v>43762</v>
      </c>
      <c r="C20" s="125"/>
      <c r="D20" s="84" t="str">
        <f>HLOOKUP($U$3,入力シート!$D$5:$ZZ$104,38,FALSE)</f>
        <v>電車/東京⇔新宿</v>
      </c>
      <c r="E20" s="85"/>
      <c r="F20" s="85"/>
      <c r="G20" s="85"/>
      <c r="H20" s="85"/>
      <c r="I20" s="85"/>
      <c r="J20" s="86"/>
      <c r="K20" s="85" t="str">
        <f>HLOOKUP($U$3,入力シート!$D$5:$ZZ$104,39,FALSE)</f>
        <v>営業（○○様）</v>
      </c>
      <c r="L20" s="85"/>
      <c r="M20" s="85"/>
      <c r="N20" s="85"/>
      <c r="O20" s="86"/>
      <c r="P20" s="92">
        <f>HLOOKUP($U$3,入力シート!$D$5:$ZZ$104,40,FALSE)</f>
        <v>500</v>
      </c>
      <c r="Q20" s="93"/>
      <c r="R20" s="93"/>
      <c r="S20" s="94"/>
    </row>
    <row r="21" spans="1:19" ht="16.5" customHeight="1" x14ac:dyDescent="0.4">
      <c r="A21" s="128"/>
      <c r="B21" s="145">
        <f>HLOOKUP($U$3,入力シート!$D$5:$ZZ$104,41,FALSE)</f>
        <v>43765</v>
      </c>
      <c r="C21" s="146"/>
      <c r="D21" s="96" t="str">
        <f>HLOOKUP($U$3,入力シート!$D$5:$ZZ$104,42,FALSE)</f>
        <v>電車/東京⇔新宿</v>
      </c>
      <c r="E21" s="87"/>
      <c r="F21" s="87"/>
      <c r="G21" s="87"/>
      <c r="H21" s="87"/>
      <c r="I21" s="87"/>
      <c r="J21" s="88"/>
      <c r="K21" s="87" t="str">
        <f>HLOOKUP($U$3,入力シート!$D$5:$ZZ$104,43,FALSE)</f>
        <v>営業（○○様）</v>
      </c>
      <c r="L21" s="87"/>
      <c r="M21" s="87"/>
      <c r="N21" s="87"/>
      <c r="O21" s="88"/>
      <c r="P21" s="121">
        <f>HLOOKUP($U$3,入力シート!$D$5:$ZZ$104,44,FALSE)</f>
        <v>500</v>
      </c>
      <c r="Q21" s="122"/>
      <c r="R21" s="122"/>
      <c r="S21" s="123"/>
    </row>
    <row r="22" spans="1:19" ht="16.5" customHeight="1" x14ac:dyDescent="0.4">
      <c r="A22" s="129" t="s">
        <v>3</v>
      </c>
      <c r="B22" s="133" t="s">
        <v>5</v>
      </c>
      <c r="C22" s="134"/>
      <c r="D22" s="120" t="s">
        <v>8</v>
      </c>
      <c r="E22" s="115"/>
      <c r="F22" s="115"/>
      <c r="G22" s="115"/>
      <c r="H22" s="115"/>
      <c r="I22" s="115"/>
      <c r="J22" s="116"/>
      <c r="K22" s="115" t="s">
        <v>0</v>
      </c>
      <c r="L22" s="115"/>
      <c r="M22" s="115"/>
      <c r="N22" s="115"/>
      <c r="O22" s="116"/>
      <c r="P22" s="95" t="s">
        <v>1</v>
      </c>
      <c r="Q22" s="95"/>
      <c r="R22" s="95"/>
      <c r="S22" s="95"/>
    </row>
    <row r="23" spans="1:19" ht="16.5" customHeight="1" x14ac:dyDescent="0.4">
      <c r="A23" s="130"/>
      <c r="B23" s="135">
        <f>HLOOKUP($U$3,入力シート!$D$5:$ZZ$104,45,FALSE)</f>
        <v>43739</v>
      </c>
      <c r="C23" s="136"/>
      <c r="D23" s="119" t="str">
        <f>HLOOKUP($U$3,入力シート!$D$5:$ZZ$104,46,FALSE)</f>
        <v>電車/東京⇔千葉</v>
      </c>
      <c r="E23" s="117"/>
      <c r="F23" s="117"/>
      <c r="G23" s="117"/>
      <c r="H23" s="117"/>
      <c r="I23" s="117"/>
      <c r="J23" s="118"/>
      <c r="K23" s="117" t="str">
        <f>HLOOKUP($U$3,入力シート!$D$5:$ZZ$104,47,FALSE)</f>
        <v>1か月分/10月31日まで</v>
      </c>
      <c r="L23" s="117"/>
      <c r="M23" s="117"/>
      <c r="N23" s="117"/>
      <c r="O23" s="118"/>
      <c r="P23" s="112">
        <f>HLOOKUP($U$3,入力シート!$D$5:$ZZ$104,48,FALSE)</f>
        <v>10000</v>
      </c>
      <c r="Q23" s="113"/>
      <c r="R23" s="113"/>
      <c r="S23" s="114"/>
    </row>
    <row r="24" spans="1:19" ht="16.5" customHeight="1" x14ac:dyDescent="0.4">
      <c r="A24" s="130"/>
      <c r="B24" s="126">
        <f>HLOOKUP($U$3,入力シート!$D$5:$ZZ$104,49,FALSE)</f>
        <v>43739</v>
      </c>
      <c r="C24" s="127"/>
      <c r="D24" s="98" t="str">
        <f>HLOOKUP($U$3,入力シート!$D$5:$ZZ$104,50,FALSE)</f>
        <v>バス/■■⇔千葉</v>
      </c>
      <c r="E24" s="99"/>
      <c r="F24" s="99"/>
      <c r="G24" s="99"/>
      <c r="H24" s="99"/>
      <c r="I24" s="99"/>
      <c r="J24" s="100"/>
      <c r="K24" s="99" t="str">
        <f>HLOOKUP($U$3,入力シート!$D$5:$ZZ$104,51,FALSE)</f>
        <v>3か月分/12月31日まで</v>
      </c>
      <c r="L24" s="99"/>
      <c r="M24" s="99"/>
      <c r="N24" s="99"/>
      <c r="O24" s="100"/>
      <c r="P24" s="89">
        <f>HLOOKUP($U$3,入力シート!$D$5:$ZZ$104,52,FALSE)</f>
        <v>10000</v>
      </c>
      <c r="Q24" s="90"/>
      <c r="R24" s="90"/>
      <c r="S24" s="91"/>
    </row>
    <row r="25" spans="1:19" ht="16.5" customHeight="1" x14ac:dyDescent="0.4">
      <c r="A25" s="131"/>
      <c r="B25" s="147">
        <f>HLOOKUP($U$3,入力シート!$D$5:$ZZ$104,53,FALSE)</f>
        <v>43739</v>
      </c>
      <c r="C25" s="148"/>
      <c r="D25" s="132" t="str">
        <f>HLOOKUP($U$3,入力シート!$D$5:$ZZ$104,54,FALSE)</f>
        <v>電車/東京⇔千葉</v>
      </c>
      <c r="E25" s="107"/>
      <c r="F25" s="107"/>
      <c r="G25" s="107"/>
      <c r="H25" s="107"/>
      <c r="I25" s="107"/>
      <c r="J25" s="108"/>
      <c r="K25" s="107" t="str">
        <f>HLOOKUP($U$3,入力シート!$D$5:$ZZ$104,55,FALSE)</f>
        <v>6か月分/2020年3月31日まで</v>
      </c>
      <c r="L25" s="107"/>
      <c r="M25" s="107"/>
      <c r="N25" s="107"/>
      <c r="O25" s="108"/>
      <c r="P25" s="109">
        <f>HLOOKUP($U$3,入力シート!$D$5:$ZZ$104,56,FALSE)</f>
        <v>10000</v>
      </c>
      <c r="Q25" s="110"/>
      <c r="R25" s="110"/>
      <c r="S25" s="111"/>
    </row>
    <row r="26" spans="1:19" ht="16.5" customHeight="1" x14ac:dyDescent="0.4">
      <c r="A26" s="129" t="s">
        <v>4</v>
      </c>
      <c r="B26" s="139" t="s">
        <v>7</v>
      </c>
      <c r="C26" s="149"/>
      <c r="D26" s="120" t="s">
        <v>8</v>
      </c>
      <c r="E26" s="115"/>
      <c r="F26" s="115"/>
      <c r="G26" s="115"/>
      <c r="H26" s="115"/>
      <c r="I26" s="115"/>
      <c r="J26" s="116"/>
      <c r="K26" s="115" t="s">
        <v>0</v>
      </c>
      <c r="L26" s="115"/>
      <c r="M26" s="115"/>
      <c r="N26" s="115"/>
      <c r="O26" s="116"/>
      <c r="P26" s="95" t="s">
        <v>1</v>
      </c>
      <c r="Q26" s="95"/>
      <c r="R26" s="95"/>
      <c r="S26" s="95"/>
    </row>
    <row r="27" spans="1:19" ht="16.5" customHeight="1" x14ac:dyDescent="0.4">
      <c r="A27" s="130"/>
      <c r="B27" s="135">
        <f>HLOOKUP($U$3,入力シート!$D$5:$ZZ$104,57,FALSE)</f>
        <v>43739</v>
      </c>
      <c r="C27" s="136"/>
      <c r="D27" s="119" t="str">
        <f>HLOOKUP($U$3,入力シート!$D$5:$ZZ$104,58,FALSE)</f>
        <v>飛行機/東京⇔北海道</v>
      </c>
      <c r="E27" s="117"/>
      <c r="F27" s="117"/>
      <c r="G27" s="117"/>
      <c r="H27" s="117"/>
      <c r="I27" s="117"/>
      <c r="J27" s="118"/>
      <c r="K27" s="117" t="str">
        <f>HLOOKUP($U$3,入力シート!$D$5:$ZZ$104,59,FALSE)</f>
        <v>契約（○○様）</v>
      </c>
      <c r="L27" s="117"/>
      <c r="M27" s="117"/>
      <c r="N27" s="117"/>
      <c r="O27" s="118"/>
      <c r="P27" s="112">
        <f>HLOOKUP($U$3,入力シート!$D$5:$ZZ$104,60,FALSE)</f>
        <v>50000</v>
      </c>
      <c r="Q27" s="113"/>
      <c r="R27" s="113"/>
      <c r="S27" s="114"/>
    </row>
    <row r="28" spans="1:19" ht="16.5" customHeight="1" x14ac:dyDescent="0.4">
      <c r="A28" s="130"/>
      <c r="B28" s="126">
        <f>HLOOKUP($U$3,入力シート!$D$5:$ZZ$104,61,FALSE)</f>
        <v>43741</v>
      </c>
      <c r="C28" s="127"/>
      <c r="D28" s="98" t="str">
        <f>HLOOKUP($U$3,入力シート!$D$5:$ZZ$104,62,FALSE)</f>
        <v>新幹線/東京⇔名古屋</v>
      </c>
      <c r="E28" s="99"/>
      <c r="F28" s="99"/>
      <c r="G28" s="99"/>
      <c r="H28" s="99"/>
      <c r="I28" s="99"/>
      <c r="J28" s="100"/>
      <c r="K28" s="99" t="str">
        <f>HLOOKUP($U$3,入力シート!$D$5:$ZZ$104,63,FALSE)</f>
        <v>商談（○○様）</v>
      </c>
      <c r="L28" s="99"/>
      <c r="M28" s="99"/>
      <c r="N28" s="99"/>
      <c r="O28" s="100"/>
      <c r="P28" s="89">
        <f>HLOOKUP($U$3,入力シート!$D$5:$ZZ$104,64,FALSE)</f>
        <v>20000</v>
      </c>
      <c r="Q28" s="90"/>
      <c r="R28" s="90"/>
      <c r="S28" s="91"/>
    </row>
    <row r="29" spans="1:19" ht="16.5" customHeight="1" x14ac:dyDescent="0.4">
      <c r="A29" s="130"/>
      <c r="B29" s="124">
        <f>HLOOKUP($U$3,入力シート!$D$5:$ZZ$104,65,FALSE)</f>
        <v>43744</v>
      </c>
      <c r="C29" s="125"/>
      <c r="D29" s="84" t="str">
        <f>HLOOKUP($U$3,入力シート!$D$5:$ZZ$104,66,FALSE)</f>
        <v>飛行機/東京⇔北海道</v>
      </c>
      <c r="E29" s="85"/>
      <c r="F29" s="85"/>
      <c r="G29" s="85"/>
      <c r="H29" s="85"/>
      <c r="I29" s="85"/>
      <c r="J29" s="86"/>
      <c r="K29" s="85" t="str">
        <f>HLOOKUP($U$3,入力シート!$D$5:$ZZ$104,67,FALSE)</f>
        <v>契約（○○様）</v>
      </c>
      <c r="L29" s="85"/>
      <c r="M29" s="85"/>
      <c r="N29" s="85"/>
      <c r="O29" s="86"/>
      <c r="P29" s="92">
        <f>HLOOKUP($U$3,入力シート!$D$5:$ZZ$104,68,FALSE)</f>
        <v>500</v>
      </c>
      <c r="Q29" s="93"/>
      <c r="R29" s="93"/>
      <c r="S29" s="94"/>
    </row>
    <row r="30" spans="1:19" ht="16.5" customHeight="1" x14ac:dyDescent="0.4">
      <c r="A30" s="130"/>
      <c r="B30" s="126">
        <f>HLOOKUP($U$3,入力シート!$D$5:$ZZ$104,69,FALSE)</f>
        <v>43747</v>
      </c>
      <c r="C30" s="127"/>
      <c r="D30" s="98" t="str">
        <f>HLOOKUP($U$3,入力シート!$D$5:$ZZ$104,70,FALSE)</f>
        <v>飛行機/東京⇔北海道</v>
      </c>
      <c r="E30" s="99"/>
      <c r="F30" s="99"/>
      <c r="G30" s="99"/>
      <c r="H30" s="99"/>
      <c r="I30" s="99"/>
      <c r="J30" s="100"/>
      <c r="K30" s="99" t="str">
        <f>HLOOKUP($U$3,入力シート!$D$5:$ZZ$104,71,FALSE)</f>
        <v>契約（○○様）</v>
      </c>
      <c r="L30" s="99"/>
      <c r="M30" s="99"/>
      <c r="N30" s="99"/>
      <c r="O30" s="100"/>
      <c r="P30" s="89">
        <f>HLOOKUP($U$3,入力シート!$D$5:$ZZ$104,72,FALSE)</f>
        <v>500</v>
      </c>
      <c r="Q30" s="90"/>
      <c r="R30" s="90"/>
      <c r="S30" s="91"/>
    </row>
    <row r="31" spans="1:19" ht="16.5" customHeight="1" x14ac:dyDescent="0.4">
      <c r="A31" s="130"/>
      <c r="B31" s="124">
        <f>HLOOKUP($U$3,入力シート!$D$5:$ZZ$104,73,FALSE)</f>
        <v>43750</v>
      </c>
      <c r="C31" s="125"/>
      <c r="D31" s="84" t="str">
        <f>HLOOKUP($U$3,入力シート!$D$5:$ZZ$104,74,FALSE)</f>
        <v>飛行機/東京⇔北海道</v>
      </c>
      <c r="E31" s="85"/>
      <c r="F31" s="85"/>
      <c r="G31" s="85"/>
      <c r="H31" s="85"/>
      <c r="I31" s="85"/>
      <c r="J31" s="86"/>
      <c r="K31" s="85" t="str">
        <f>HLOOKUP($U$3,入力シート!$D$5:$ZZ$104,75,FALSE)</f>
        <v>契約（○○様）</v>
      </c>
      <c r="L31" s="85"/>
      <c r="M31" s="85"/>
      <c r="N31" s="85"/>
      <c r="O31" s="86"/>
      <c r="P31" s="92">
        <f>HLOOKUP($U$3,入力シート!$D$5:$ZZ$104,76,FALSE)</f>
        <v>500</v>
      </c>
      <c r="Q31" s="93"/>
      <c r="R31" s="93"/>
      <c r="S31" s="94"/>
    </row>
    <row r="32" spans="1:19" ht="16.5" customHeight="1" x14ac:dyDescent="0.4">
      <c r="A32" s="130"/>
      <c r="B32" s="126">
        <f>HLOOKUP($U$3,入力シート!$D$5:$ZZ$104,77,FALSE)</f>
        <v>43753</v>
      </c>
      <c r="C32" s="127"/>
      <c r="D32" s="98" t="str">
        <f>HLOOKUP($U$3,入力シート!$D$5:$ZZ$104,78,FALSE)</f>
        <v>飛行機/東京⇔北海道</v>
      </c>
      <c r="E32" s="99"/>
      <c r="F32" s="99"/>
      <c r="G32" s="99"/>
      <c r="H32" s="99"/>
      <c r="I32" s="99"/>
      <c r="J32" s="100"/>
      <c r="K32" s="99" t="str">
        <f>HLOOKUP($U$3,入力シート!$D$5:$ZZ$104,79,FALSE)</f>
        <v>契約（○○様）</v>
      </c>
      <c r="L32" s="99"/>
      <c r="M32" s="99"/>
      <c r="N32" s="99"/>
      <c r="O32" s="100"/>
      <c r="P32" s="89">
        <f>HLOOKUP($U$3,入力シート!$D$5:$ZZ$104,80,FALSE)</f>
        <v>500</v>
      </c>
      <c r="Q32" s="90"/>
      <c r="R32" s="90"/>
      <c r="S32" s="91"/>
    </row>
    <row r="33" spans="1:19" ht="16.5" customHeight="1" x14ac:dyDescent="0.4">
      <c r="A33" s="130"/>
      <c r="B33" s="124">
        <f>HLOOKUP($U$3,入力シート!$D$5:$ZZ$104,81,FALSE)</f>
        <v>43756</v>
      </c>
      <c r="C33" s="125"/>
      <c r="D33" s="84" t="str">
        <f>HLOOKUP($U$3,入力シート!$D$5:$ZZ$104,82,FALSE)</f>
        <v>飛行機/東京⇔北海道</v>
      </c>
      <c r="E33" s="85"/>
      <c r="F33" s="85"/>
      <c r="G33" s="85"/>
      <c r="H33" s="85"/>
      <c r="I33" s="85"/>
      <c r="J33" s="86"/>
      <c r="K33" s="85" t="str">
        <f>HLOOKUP($U$3,入力シート!$D$5:$ZZ$104,83,FALSE)</f>
        <v>契約（○○様）</v>
      </c>
      <c r="L33" s="85"/>
      <c r="M33" s="85"/>
      <c r="N33" s="85"/>
      <c r="O33" s="86"/>
      <c r="P33" s="92">
        <f>HLOOKUP($U$3,入力シート!$D$5:$ZZ$104,84,FALSE)</f>
        <v>500</v>
      </c>
      <c r="Q33" s="93"/>
      <c r="R33" s="93"/>
      <c r="S33" s="94"/>
    </row>
    <row r="34" spans="1:19" ht="16.5" customHeight="1" x14ac:dyDescent="0.4">
      <c r="A34" s="130"/>
      <c r="B34" s="126">
        <f>HLOOKUP($U$3,入力シート!$D$5:$ZZ$104,85,FALSE)</f>
        <v>43759</v>
      </c>
      <c r="C34" s="127"/>
      <c r="D34" s="98" t="str">
        <f>HLOOKUP($U$3,入力シート!$D$5:$ZZ$104,86,FALSE)</f>
        <v>飛行機/東京⇔北海道</v>
      </c>
      <c r="E34" s="99"/>
      <c r="F34" s="99"/>
      <c r="G34" s="99"/>
      <c r="H34" s="99"/>
      <c r="I34" s="99"/>
      <c r="J34" s="100"/>
      <c r="K34" s="99" t="str">
        <f>HLOOKUP($U$3,入力シート!$D$5:$ZZ$104,87,FALSE)</f>
        <v>契約（○○様）</v>
      </c>
      <c r="L34" s="99"/>
      <c r="M34" s="99"/>
      <c r="N34" s="99"/>
      <c r="O34" s="100"/>
      <c r="P34" s="89">
        <f>HLOOKUP($U$3,入力シート!$D$5:$ZZ$104,88,FALSE)</f>
        <v>500</v>
      </c>
      <c r="Q34" s="90"/>
      <c r="R34" s="90"/>
      <c r="S34" s="91"/>
    </row>
    <row r="35" spans="1:19" ht="16.5" customHeight="1" x14ac:dyDescent="0.4">
      <c r="A35" s="130"/>
      <c r="B35" s="124">
        <f>HLOOKUP($U$3,入力シート!$D$5:$ZZ$104,89,FALSE)</f>
        <v>43762</v>
      </c>
      <c r="C35" s="125"/>
      <c r="D35" s="84" t="str">
        <f>HLOOKUP($U$3,入力シート!$D$5:$ZZ$104,90,FALSE)</f>
        <v>飛行機/東京⇔北海道</v>
      </c>
      <c r="E35" s="85"/>
      <c r="F35" s="85"/>
      <c r="G35" s="85"/>
      <c r="H35" s="85"/>
      <c r="I35" s="85"/>
      <c r="J35" s="86"/>
      <c r="K35" s="85" t="str">
        <f>HLOOKUP($U$3,入力シート!$D$5:$ZZ$104,91,FALSE)</f>
        <v>契約（○○様）</v>
      </c>
      <c r="L35" s="85"/>
      <c r="M35" s="85"/>
      <c r="N35" s="85"/>
      <c r="O35" s="86"/>
      <c r="P35" s="92">
        <f>HLOOKUP($U$3,入力シート!$D$5:$ZZ$104,92,FALSE)</f>
        <v>500</v>
      </c>
      <c r="Q35" s="93"/>
      <c r="R35" s="93"/>
      <c r="S35" s="94"/>
    </row>
    <row r="36" spans="1:19" ht="16.5" customHeight="1" thickBot="1" x14ac:dyDescent="0.45">
      <c r="A36" s="131"/>
      <c r="B36" s="145">
        <f>HLOOKUP($U$3,入力シート!$D$5:$ZZ$104,93,FALSE)</f>
        <v>43765</v>
      </c>
      <c r="C36" s="146"/>
      <c r="D36" s="96" t="str">
        <f>HLOOKUP($U$3,入力シート!$D$5:$ZZ$104,94,FALSE)</f>
        <v>飛行機/東京⇔北海道</v>
      </c>
      <c r="E36" s="87"/>
      <c r="F36" s="87"/>
      <c r="G36" s="87"/>
      <c r="H36" s="87"/>
      <c r="I36" s="87"/>
      <c r="J36" s="88"/>
      <c r="K36" s="87" t="str">
        <f>HLOOKUP($U$3,入力シート!$D$5:$ZZ$104,95,FALSE)</f>
        <v>契約（○○様）</v>
      </c>
      <c r="L36" s="87"/>
      <c r="M36" s="87"/>
      <c r="N36" s="87"/>
      <c r="O36" s="88"/>
      <c r="P36" s="101">
        <f>HLOOKUP($U$3,入力シート!$D$5:$ZZ$104,96,FALSE)</f>
        <v>500</v>
      </c>
      <c r="Q36" s="102"/>
      <c r="R36" s="102"/>
      <c r="S36" s="103"/>
    </row>
    <row r="37" spans="1:19" ht="16.5" customHeight="1" thickBot="1" x14ac:dyDescent="0.45">
      <c r="B37" s="97" t="s">
        <v>52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104">
        <f>SUM(P12:S21,P23:S25,P27:S36)</f>
        <v>109000</v>
      </c>
      <c r="Q37" s="105"/>
      <c r="R37" s="105"/>
      <c r="S37" s="106"/>
    </row>
    <row r="38" spans="1:19" ht="16.5" customHeight="1" x14ac:dyDescent="0.4">
      <c r="A38" s="144" t="s">
        <v>56</v>
      </c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27"/>
      <c r="Q38" s="27"/>
      <c r="R38" s="27"/>
      <c r="S38" s="27"/>
    </row>
    <row r="39" spans="1:19" ht="16.5" customHeight="1" x14ac:dyDescent="0.4">
      <c r="A39" s="144" t="s">
        <v>57</v>
      </c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27"/>
      <c r="Q39" s="27"/>
      <c r="R39" s="27"/>
      <c r="S39" s="27"/>
    </row>
    <row r="40" spans="1:19" ht="16.5" customHeight="1" x14ac:dyDescent="0.4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27"/>
      <c r="Q40" s="27"/>
      <c r="R40" s="27"/>
      <c r="S40" s="27"/>
    </row>
    <row r="41" spans="1:19" ht="16.5" customHeight="1" x14ac:dyDescent="0.4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20"/>
      <c r="Q41" s="20"/>
      <c r="R41" s="20"/>
      <c r="S41" s="21"/>
    </row>
    <row r="42" spans="1:19" ht="16.5" customHeight="1" x14ac:dyDescent="0.4">
      <c r="A42" s="77" t="s">
        <v>51</v>
      </c>
      <c r="B42" s="77"/>
      <c r="C42" s="77"/>
      <c r="D42" s="15"/>
      <c r="E42" s="15"/>
      <c r="F42" s="15"/>
      <c r="G42" s="15"/>
      <c r="H42" s="15"/>
      <c r="I42" s="15"/>
      <c r="J42" s="15"/>
      <c r="K42" s="15"/>
      <c r="L42" s="15"/>
      <c r="M42" s="16"/>
      <c r="N42" s="16"/>
      <c r="O42" s="16"/>
      <c r="P42" s="16"/>
      <c r="Q42" s="16"/>
      <c r="R42" s="16"/>
    </row>
    <row r="43" spans="1:19" ht="16.5" customHeight="1" x14ac:dyDescent="0.4">
      <c r="A43" s="78" t="str">
        <f>HLOOKUP($U$3,入力シート!$D$5:$ZZ$104,97,FALSE)</f>
        <v>・領収書別紙添付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80"/>
    </row>
    <row r="44" spans="1:19" ht="16.5" customHeight="1" x14ac:dyDescent="0.4">
      <c r="A44" s="81" t="str">
        <f>HLOOKUP($U$3,入力シート!$D$5:$ZZ$104,98,FALSE)</f>
        <v>・出張先での移動の際の交通費は通常交通費に記載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3"/>
    </row>
    <row r="45" spans="1:19" ht="16.5" customHeight="1" x14ac:dyDescent="0.4">
      <c r="A45" s="81" t="str">
        <f>HLOOKUP($U$3,入力シート!$D$5:$ZZ$104,99,FALSE)</f>
        <v>・ここにテキスト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3"/>
    </row>
    <row r="46" spans="1:19" ht="16.5" customHeight="1" x14ac:dyDescent="0.4">
      <c r="A46" s="140" t="str">
        <f>HLOOKUP($U$3,入力シート!$D$5:$ZZ$104,100,FALSE)</f>
        <v>・これは例文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2"/>
    </row>
    <row r="47" spans="1:19" ht="16.5" customHeight="1" x14ac:dyDescent="0.4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9"/>
      <c r="O47" s="19"/>
      <c r="P47" s="19"/>
      <c r="Q47" s="19"/>
      <c r="R47" s="19"/>
    </row>
    <row r="48" spans="1:19" ht="16.5" customHeight="1" x14ac:dyDescent="0.4">
      <c r="A48" s="143" t="s">
        <v>15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</row>
    <row r="49" spans="2:18" ht="16.5" customHeight="1" x14ac:dyDescent="0.4">
      <c r="B49" s="6"/>
      <c r="C49" s="4"/>
      <c r="D49" s="4"/>
      <c r="E49" s="4"/>
      <c r="F49" s="4"/>
      <c r="G49" s="4"/>
      <c r="H49" s="4"/>
      <c r="I49" s="4"/>
      <c r="J49" s="6"/>
      <c r="K49" s="4"/>
      <c r="L49" s="4"/>
      <c r="M49" s="4"/>
      <c r="N49" s="12"/>
      <c r="O49" s="12"/>
      <c r="P49" s="12"/>
      <c r="Q49" s="2"/>
      <c r="R49" s="2"/>
    </row>
    <row r="50" spans="2:18" ht="16.5" customHeight="1" x14ac:dyDescent="0.4">
      <c r="B50" s="6"/>
      <c r="C50" s="4"/>
      <c r="D50" s="4"/>
      <c r="E50" s="4"/>
      <c r="F50" s="4"/>
      <c r="G50" s="4"/>
      <c r="H50" s="4"/>
      <c r="I50" s="4"/>
      <c r="J50" s="6"/>
      <c r="K50" s="8"/>
      <c r="L50" s="9"/>
      <c r="M50" s="7"/>
      <c r="N50" s="12"/>
      <c r="O50" s="12"/>
      <c r="P50" s="12"/>
      <c r="Q50" s="2"/>
    </row>
    <row r="51" spans="2:18" ht="16.5" customHeight="1" x14ac:dyDescent="0.4">
      <c r="B51" s="6"/>
      <c r="C51" s="4"/>
      <c r="D51" s="4"/>
      <c r="E51" s="4"/>
      <c r="F51" s="4"/>
      <c r="G51" s="4"/>
      <c r="H51" s="4"/>
      <c r="I51" s="4"/>
      <c r="J51" s="6"/>
      <c r="K51" s="4"/>
      <c r="L51" s="4"/>
      <c r="M51" s="4"/>
      <c r="N51" s="12"/>
      <c r="O51" s="12"/>
      <c r="P51" s="12"/>
      <c r="Q51" s="2"/>
    </row>
    <row r="52" spans="2:18" ht="16.5" customHeight="1" x14ac:dyDescent="0.4">
      <c r="B52" s="6"/>
      <c r="C52" s="4"/>
      <c r="D52" s="4"/>
      <c r="E52" s="4"/>
      <c r="F52" s="4"/>
      <c r="G52" s="4"/>
      <c r="H52" s="4"/>
      <c r="I52" s="4"/>
      <c r="J52" s="6"/>
      <c r="K52" s="4"/>
      <c r="L52" s="4"/>
      <c r="M52" s="4"/>
      <c r="N52" s="12"/>
      <c r="O52" s="12"/>
      <c r="P52" s="12"/>
      <c r="Q52" s="2"/>
    </row>
    <row r="53" spans="2:18" ht="16.5" customHeight="1" x14ac:dyDescent="0.4">
      <c r="B53" s="6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2"/>
      <c r="O53" s="12"/>
      <c r="P53" s="12"/>
      <c r="Q53" s="2"/>
    </row>
    <row r="54" spans="2:18" ht="16.5" customHeight="1" x14ac:dyDescent="0.4">
      <c r="B54" s="6"/>
      <c r="C54" s="4"/>
      <c r="D54" s="4"/>
      <c r="E54" s="4"/>
      <c r="F54" s="4"/>
      <c r="G54" s="4"/>
      <c r="H54" s="4"/>
      <c r="I54" s="4"/>
      <c r="J54" s="6"/>
      <c r="K54" s="13"/>
      <c r="L54" s="13"/>
      <c r="M54" s="13"/>
      <c r="N54" s="14"/>
      <c r="O54" s="14"/>
      <c r="P54" s="14"/>
      <c r="Q54" s="2"/>
    </row>
    <row r="55" spans="2:18" ht="16.5" customHeight="1" x14ac:dyDescent="0.4">
      <c r="B55" s="6"/>
      <c r="C55" s="4"/>
      <c r="D55" s="4"/>
      <c r="E55" s="4"/>
      <c r="F55" s="4"/>
      <c r="G55" s="4"/>
      <c r="H55" s="4"/>
      <c r="I55" s="4"/>
      <c r="J55" s="6"/>
      <c r="K55" s="6"/>
      <c r="L55" s="6"/>
      <c r="M55" s="6"/>
      <c r="N55" s="4"/>
      <c r="O55" s="4"/>
      <c r="P55" s="4"/>
      <c r="Q55" s="2"/>
    </row>
    <row r="56" spans="2:18" ht="16.5" customHeight="1" x14ac:dyDescent="0.4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"/>
    </row>
    <row r="57" spans="2:18" ht="16.5" customHeight="1" x14ac:dyDescent="0.4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"/>
    </row>
    <row r="58" spans="2:18" ht="16.5" customHeight="1" x14ac:dyDescent="0.4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"/>
    </row>
    <row r="59" spans="2:18" ht="16.5" customHeight="1" x14ac:dyDescent="0.4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"/>
    </row>
    <row r="60" spans="2:18" ht="16.5" customHeight="1" x14ac:dyDescent="0.4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2"/>
    </row>
    <row r="61" spans="2:18" ht="16.5" customHeight="1" x14ac:dyDescent="0.4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2"/>
    </row>
  </sheetData>
  <mergeCells count="138">
    <mergeCell ref="D6:H6"/>
    <mergeCell ref="U3:W3"/>
    <mergeCell ref="U2:W2"/>
    <mergeCell ref="N5:O5"/>
    <mergeCell ref="P5:Q5"/>
    <mergeCell ref="R5:S5"/>
    <mergeCell ref="A8:J8"/>
    <mergeCell ref="A5:C5"/>
    <mergeCell ref="A6:C6"/>
    <mergeCell ref="D5:H5"/>
    <mergeCell ref="E1:N2"/>
    <mergeCell ref="N3:P3"/>
    <mergeCell ref="Q3:S3"/>
    <mergeCell ref="R6:S8"/>
    <mergeCell ref="N6:O8"/>
    <mergeCell ref="P6:Q8"/>
    <mergeCell ref="B27:C27"/>
    <mergeCell ref="B28:C28"/>
    <mergeCell ref="B29:C29"/>
    <mergeCell ref="B30:C30"/>
    <mergeCell ref="B31:C31"/>
    <mergeCell ref="B21:C21"/>
    <mergeCell ref="B23:C23"/>
    <mergeCell ref="B24:C24"/>
    <mergeCell ref="B25:C25"/>
    <mergeCell ref="B26:C26"/>
    <mergeCell ref="A46:S46"/>
    <mergeCell ref="A48:S48"/>
    <mergeCell ref="A38:O38"/>
    <mergeCell ref="A39:O39"/>
    <mergeCell ref="A41:O41"/>
    <mergeCell ref="A40:O40"/>
    <mergeCell ref="B32:C32"/>
    <mergeCell ref="B33:C33"/>
    <mergeCell ref="B34:C34"/>
    <mergeCell ref="B35:C35"/>
    <mergeCell ref="B36:C36"/>
    <mergeCell ref="K32:O32"/>
    <mergeCell ref="K33:O33"/>
    <mergeCell ref="K34:O34"/>
    <mergeCell ref="B16:C16"/>
    <mergeCell ref="B17:C17"/>
    <mergeCell ref="B18:C18"/>
    <mergeCell ref="B19:C19"/>
    <mergeCell ref="B20:C20"/>
    <mergeCell ref="A11:A21"/>
    <mergeCell ref="A22:A25"/>
    <mergeCell ref="A26:A36"/>
    <mergeCell ref="D25:J25"/>
    <mergeCell ref="D26:J26"/>
    <mergeCell ref="D27:J27"/>
    <mergeCell ref="D28:J28"/>
    <mergeCell ref="D29:J29"/>
    <mergeCell ref="D30:J30"/>
    <mergeCell ref="D31:J31"/>
    <mergeCell ref="D32:J32"/>
    <mergeCell ref="D33:J33"/>
    <mergeCell ref="D34:J34"/>
    <mergeCell ref="B22:C22"/>
    <mergeCell ref="B12:C12"/>
    <mergeCell ref="B13:C13"/>
    <mergeCell ref="B14:C14"/>
    <mergeCell ref="B15:C15"/>
    <mergeCell ref="B11:C11"/>
    <mergeCell ref="P12:S12"/>
    <mergeCell ref="P13:S13"/>
    <mergeCell ref="P14:S14"/>
    <mergeCell ref="P15:S15"/>
    <mergeCell ref="P19:S19"/>
    <mergeCell ref="P20:S20"/>
    <mergeCell ref="P21:S21"/>
    <mergeCell ref="P22:S22"/>
    <mergeCell ref="P23:S23"/>
    <mergeCell ref="P16:S16"/>
    <mergeCell ref="P17:S17"/>
    <mergeCell ref="P18:S18"/>
    <mergeCell ref="K11:O11"/>
    <mergeCell ref="D12:J12"/>
    <mergeCell ref="K12:O12"/>
    <mergeCell ref="D13:J13"/>
    <mergeCell ref="K13:O13"/>
    <mergeCell ref="D11:J11"/>
    <mergeCell ref="D22:J22"/>
    <mergeCell ref="K22:O22"/>
    <mergeCell ref="D23:J23"/>
    <mergeCell ref="K23:O23"/>
    <mergeCell ref="D19:J19"/>
    <mergeCell ref="K19:O19"/>
    <mergeCell ref="D20:J20"/>
    <mergeCell ref="K20:O20"/>
    <mergeCell ref="D21:J21"/>
    <mergeCell ref="K21:O21"/>
    <mergeCell ref="P29:S29"/>
    <mergeCell ref="P30:S30"/>
    <mergeCell ref="P31:S31"/>
    <mergeCell ref="K25:O25"/>
    <mergeCell ref="K16:O16"/>
    <mergeCell ref="D17:J17"/>
    <mergeCell ref="K17:O17"/>
    <mergeCell ref="D18:J18"/>
    <mergeCell ref="K18:O18"/>
    <mergeCell ref="D24:J24"/>
    <mergeCell ref="K24:O24"/>
    <mergeCell ref="P24:S24"/>
    <mergeCell ref="P25:S25"/>
    <mergeCell ref="P26:S26"/>
    <mergeCell ref="P27:S27"/>
    <mergeCell ref="P28:S28"/>
    <mergeCell ref="K29:O29"/>
    <mergeCell ref="K30:O30"/>
    <mergeCell ref="K31:O31"/>
    <mergeCell ref="K26:O26"/>
    <mergeCell ref="K27:O27"/>
    <mergeCell ref="K28:O28"/>
    <mergeCell ref="B10:D10"/>
    <mergeCell ref="F10:G10"/>
    <mergeCell ref="H10:S10"/>
    <mergeCell ref="A42:C42"/>
    <mergeCell ref="A43:S43"/>
    <mergeCell ref="A44:S44"/>
    <mergeCell ref="A45:S45"/>
    <mergeCell ref="D35:J35"/>
    <mergeCell ref="K35:O35"/>
    <mergeCell ref="K36:O36"/>
    <mergeCell ref="P32:S32"/>
    <mergeCell ref="P33:S33"/>
    <mergeCell ref="P34:S34"/>
    <mergeCell ref="P11:S11"/>
    <mergeCell ref="D36:J36"/>
    <mergeCell ref="B37:O37"/>
    <mergeCell ref="D14:J14"/>
    <mergeCell ref="K14:O14"/>
    <mergeCell ref="D15:J15"/>
    <mergeCell ref="K15:O15"/>
    <mergeCell ref="D16:J16"/>
    <mergeCell ref="P35:S35"/>
    <mergeCell ref="P36:S36"/>
    <mergeCell ref="P37:S37"/>
  </mergeCells>
  <phoneticPr fontId="1"/>
  <printOptions horizontalCentered="1" verticalCentered="1"/>
  <pageMargins left="0.43307086614173229" right="0.43307086614173229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2BE6-78B6-48D4-84E2-39C24D0564E2}">
  <dimension ref="A2:AB104"/>
  <sheetViews>
    <sheetView workbookViewId="0">
      <pane xSplit="4" ySplit="5" topLeftCell="E24" activePane="bottomRight" state="frozen"/>
      <selection pane="topRight" activeCell="E1" sqref="E1"/>
      <selection pane="bottomLeft" activeCell="A6" sqref="A6"/>
      <selection pane="bottomRight" activeCell="C104" sqref="C104"/>
    </sheetView>
  </sheetViews>
  <sheetFormatPr defaultColWidth="11.375" defaultRowHeight="12.75" x14ac:dyDescent="0.4"/>
  <cols>
    <col min="1" max="2" width="5" style="33" customWidth="1"/>
    <col min="3" max="3" width="15" style="33" customWidth="1"/>
    <col min="4" max="27" width="11.375" style="33"/>
    <col min="28" max="28" width="11.375" style="34"/>
    <col min="29" max="16384" width="11.375" style="33"/>
  </cols>
  <sheetData>
    <row r="2" spans="1:27" x14ac:dyDescent="0.4">
      <c r="A2" s="170" t="s">
        <v>11</v>
      </c>
      <c r="B2" s="171"/>
      <c r="C2" s="32" t="s">
        <v>49</v>
      </c>
      <c r="D2" s="162"/>
      <c r="E2" s="162"/>
    </row>
    <row r="3" spans="1:27" x14ac:dyDescent="0.4">
      <c r="A3" s="170" t="s">
        <v>10</v>
      </c>
      <c r="B3" s="171"/>
      <c r="C3" s="32" t="s">
        <v>50</v>
      </c>
      <c r="D3" s="162"/>
      <c r="E3" s="162"/>
    </row>
    <row r="4" spans="1:27" x14ac:dyDescent="0.4">
      <c r="D4" s="35" t="s">
        <v>14</v>
      </c>
    </row>
    <row r="5" spans="1:27" x14ac:dyDescent="0.4">
      <c r="A5" s="34">
        <v>1</v>
      </c>
      <c r="B5" s="36"/>
      <c r="C5" s="37" t="s">
        <v>61</v>
      </c>
      <c r="D5" s="38">
        <v>201910</v>
      </c>
      <c r="E5" s="38">
        <v>201911</v>
      </c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x14ac:dyDescent="0.4">
      <c r="A6" s="34">
        <v>2</v>
      </c>
      <c r="B6" s="167"/>
      <c r="C6" s="39" t="s">
        <v>9</v>
      </c>
      <c r="D6" s="40">
        <v>43770</v>
      </c>
      <c r="E6" s="40">
        <v>43800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1"/>
    </row>
    <row r="7" spans="1:27" x14ac:dyDescent="0.4">
      <c r="A7" s="34">
        <v>3</v>
      </c>
      <c r="B7" s="168"/>
      <c r="C7" s="42" t="s">
        <v>63</v>
      </c>
      <c r="D7" s="43">
        <v>43739</v>
      </c>
      <c r="E7" s="43">
        <v>43770</v>
      </c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4"/>
    </row>
    <row r="8" spans="1:27" ht="25.5" x14ac:dyDescent="0.4">
      <c r="A8" s="34">
        <v>4</v>
      </c>
      <c r="B8" s="169"/>
      <c r="C8" s="22" t="s">
        <v>12</v>
      </c>
      <c r="D8" s="22" t="s">
        <v>13</v>
      </c>
      <c r="E8" s="22" t="s">
        <v>39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31"/>
    </row>
    <row r="9" spans="1:27" x14ac:dyDescent="0.4">
      <c r="A9" s="34">
        <v>5</v>
      </c>
      <c r="B9" s="161" t="s">
        <v>19</v>
      </c>
      <c r="C9" s="45" t="s">
        <v>16</v>
      </c>
      <c r="D9" s="46">
        <v>43739</v>
      </c>
      <c r="E9" s="46">
        <v>43740</v>
      </c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7"/>
    </row>
    <row r="10" spans="1:27" x14ac:dyDescent="0.4">
      <c r="A10" s="34">
        <v>6</v>
      </c>
      <c r="B10" s="161"/>
      <c r="C10" s="48" t="s">
        <v>17</v>
      </c>
      <c r="D10" s="48" t="s">
        <v>65</v>
      </c>
      <c r="E10" s="48" t="s">
        <v>65</v>
      </c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9"/>
    </row>
    <row r="11" spans="1:27" x14ac:dyDescent="0.4">
      <c r="A11" s="34">
        <v>7</v>
      </c>
      <c r="B11" s="161"/>
      <c r="C11" s="48" t="s">
        <v>6</v>
      </c>
      <c r="D11" s="48" t="s">
        <v>66</v>
      </c>
      <c r="E11" s="48" t="s">
        <v>66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9"/>
    </row>
    <row r="12" spans="1:27" x14ac:dyDescent="0.4">
      <c r="A12" s="34">
        <v>8</v>
      </c>
      <c r="B12" s="161"/>
      <c r="C12" s="50" t="s">
        <v>18</v>
      </c>
      <c r="D12" s="51">
        <v>500</v>
      </c>
      <c r="E12" s="51">
        <v>501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2"/>
    </row>
    <row r="13" spans="1:27" x14ac:dyDescent="0.4">
      <c r="A13" s="34">
        <v>9</v>
      </c>
      <c r="B13" s="161" t="s">
        <v>20</v>
      </c>
      <c r="C13" s="45" t="s">
        <v>16</v>
      </c>
      <c r="D13" s="46">
        <v>43741</v>
      </c>
      <c r="E13" s="46">
        <v>43742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7"/>
    </row>
    <row r="14" spans="1:27" ht="25.5" x14ac:dyDescent="0.4">
      <c r="A14" s="34">
        <v>10</v>
      </c>
      <c r="B14" s="161"/>
      <c r="C14" s="48" t="s">
        <v>17</v>
      </c>
      <c r="D14" s="48" t="s">
        <v>67</v>
      </c>
      <c r="E14" s="48" t="s">
        <v>67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9"/>
    </row>
    <row r="15" spans="1:27" ht="25.5" x14ac:dyDescent="0.4">
      <c r="A15" s="34">
        <v>11</v>
      </c>
      <c r="B15" s="161"/>
      <c r="C15" s="48" t="s">
        <v>6</v>
      </c>
      <c r="D15" s="48" t="s">
        <v>68</v>
      </c>
      <c r="E15" s="48" t="s">
        <v>68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9"/>
    </row>
    <row r="16" spans="1:27" x14ac:dyDescent="0.4">
      <c r="A16" s="34">
        <v>12</v>
      </c>
      <c r="B16" s="161"/>
      <c r="C16" s="50" t="s">
        <v>18</v>
      </c>
      <c r="D16" s="51">
        <v>500</v>
      </c>
      <c r="E16" s="51">
        <v>501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2"/>
    </row>
    <row r="17" spans="1:27" x14ac:dyDescent="0.4">
      <c r="A17" s="34">
        <v>13</v>
      </c>
      <c r="B17" s="161" t="s">
        <v>21</v>
      </c>
      <c r="C17" s="45" t="s">
        <v>16</v>
      </c>
      <c r="D17" s="46">
        <v>43744</v>
      </c>
      <c r="E17" s="46">
        <v>43745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7"/>
    </row>
    <row r="18" spans="1:27" x14ac:dyDescent="0.4">
      <c r="A18" s="34">
        <v>14</v>
      </c>
      <c r="B18" s="161"/>
      <c r="C18" s="48" t="s">
        <v>17</v>
      </c>
      <c r="D18" s="48" t="s">
        <v>65</v>
      </c>
      <c r="E18" s="48" t="s">
        <v>65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9"/>
    </row>
    <row r="19" spans="1:27" x14ac:dyDescent="0.4">
      <c r="A19" s="34">
        <v>15</v>
      </c>
      <c r="B19" s="161"/>
      <c r="C19" s="48" t="s">
        <v>6</v>
      </c>
      <c r="D19" s="48" t="s">
        <v>66</v>
      </c>
      <c r="E19" s="48" t="s">
        <v>66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9"/>
    </row>
    <row r="20" spans="1:27" x14ac:dyDescent="0.4">
      <c r="A20" s="34">
        <v>16</v>
      </c>
      <c r="B20" s="161"/>
      <c r="C20" s="50" t="s">
        <v>18</v>
      </c>
      <c r="D20" s="51">
        <v>500</v>
      </c>
      <c r="E20" s="51">
        <v>501</v>
      </c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2"/>
    </row>
    <row r="21" spans="1:27" x14ac:dyDescent="0.4">
      <c r="A21" s="34">
        <v>17</v>
      </c>
      <c r="B21" s="161" t="s">
        <v>22</v>
      </c>
      <c r="C21" s="45" t="s">
        <v>16</v>
      </c>
      <c r="D21" s="46">
        <v>43747</v>
      </c>
      <c r="E21" s="46">
        <v>43748</v>
      </c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7"/>
    </row>
    <row r="22" spans="1:27" x14ac:dyDescent="0.4">
      <c r="A22" s="34">
        <v>18</v>
      </c>
      <c r="B22" s="161"/>
      <c r="C22" s="48" t="s">
        <v>17</v>
      </c>
      <c r="D22" s="48" t="s">
        <v>65</v>
      </c>
      <c r="E22" s="48" t="s">
        <v>65</v>
      </c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9"/>
    </row>
    <row r="23" spans="1:27" x14ac:dyDescent="0.4">
      <c r="A23" s="34">
        <v>19</v>
      </c>
      <c r="B23" s="161"/>
      <c r="C23" s="48" t="s">
        <v>6</v>
      </c>
      <c r="D23" s="48" t="s">
        <v>66</v>
      </c>
      <c r="E23" s="48" t="s">
        <v>66</v>
      </c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9"/>
    </row>
    <row r="24" spans="1:27" x14ac:dyDescent="0.4">
      <c r="A24" s="34">
        <v>20</v>
      </c>
      <c r="B24" s="161"/>
      <c r="C24" s="50" t="s">
        <v>18</v>
      </c>
      <c r="D24" s="51">
        <v>500</v>
      </c>
      <c r="E24" s="51">
        <v>501</v>
      </c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2"/>
    </row>
    <row r="25" spans="1:27" x14ac:dyDescent="0.4">
      <c r="A25" s="34">
        <v>21</v>
      </c>
      <c r="B25" s="161" t="s">
        <v>23</v>
      </c>
      <c r="C25" s="45" t="s">
        <v>16</v>
      </c>
      <c r="D25" s="46">
        <v>43750</v>
      </c>
      <c r="E25" s="46">
        <v>43751</v>
      </c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7"/>
    </row>
    <row r="26" spans="1:27" x14ac:dyDescent="0.4">
      <c r="A26" s="34">
        <v>22</v>
      </c>
      <c r="B26" s="161"/>
      <c r="C26" s="48" t="s">
        <v>17</v>
      </c>
      <c r="D26" s="48" t="s">
        <v>65</v>
      </c>
      <c r="E26" s="48" t="s">
        <v>65</v>
      </c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9"/>
    </row>
    <row r="27" spans="1:27" x14ac:dyDescent="0.4">
      <c r="A27" s="34">
        <v>23</v>
      </c>
      <c r="B27" s="161"/>
      <c r="C27" s="48" t="s">
        <v>6</v>
      </c>
      <c r="D27" s="48" t="s">
        <v>66</v>
      </c>
      <c r="E27" s="48" t="s">
        <v>66</v>
      </c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9"/>
    </row>
    <row r="28" spans="1:27" x14ac:dyDescent="0.4">
      <c r="A28" s="34">
        <v>24</v>
      </c>
      <c r="B28" s="161"/>
      <c r="C28" s="50" t="s">
        <v>18</v>
      </c>
      <c r="D28" s="51">
        <v>500</v>
      </c>
      <c r="E28" s="51">
        <v>501</v>
      </c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2"/>
    </row>
    <row r="29" spans="1:27" x14ac:dyDescent="0.4">
      <c r="A29" s="34">
        <v>25</v>
      </c>
      <c r="B29" s="161" t="s">
        <v>24</v>
      </c>
      <c r="C29" s="45" t="s">
        <v>16</v>
      </c>
      <c r="D29" s="46">
        <v>43753</v>
      </c>
      <c r="E29" s="46">
        <v>43754</v>
      </c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</row>
    <row r="30" spans="1:27" x14ac:dyDescent="0.4">
      <c r="A30" s="34">
        <v>26</v>
      </c>
      <c r="B30" s="161"/>
      <c r="C30" s="48" t="s">
        <v>17</v>
      </c>
      <c r="D30" s="48" t="s">
        <v>65</v>
      </c>
      <c r="E30" s="48" t="s">
        <v>65</v>
      </c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9"/>
    </row>
    <row r="31" spans="1:27" x14ac:dyDescent="0.4">
      <c r="A31" s="34">
        <v>27</v>
      </c>
      <c r="B31" s="161"/>
      <c r="C31" s="48" t="s">
        <v>6</v>
      </c>
      <c r="D31" s="48" t="s">
        <v>66</v>
      </c>
      <c r="E31" s="48" t="s">
        <v>66</v>
      </c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9"/>
    </row>
    <row r="32" spans="1:27" x14ac:dyDescent="0.4">
      <c r="A32" s="34">
        <v>28</v>
      </c>
      <c r="B32" s="161"/>
      <c r="C32" s="50" t="s">
        <v>18</v>
      </c>
      <c r="D32" s="51">
        <v>500</v>
      </c>
      <c r="E32" s="51">
        <v>501</v>
      </c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2"/>
    </row>
    <row r="33" spans="1:27" x14ac:dyDescent="0.4">
      <c r="A33" s="34">
        <v>29</v>
      </c>
      <c r="B33" s="161" t="s">
        <v>25</v>
      </c>
      <c r="C33" s="45" t="s">
        <v>16</v>
      </c>
      <c r="D33" s="46">
        <v>43756</v>
      </c>
      <c r="E33" s="46">
        <v>43757</v>
      </c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7"/>
    </row>
    <row r="34" spans="1:27" x14ac:dyDescent="0.4">
      <c r="A34" s="34">
        <v>30</v>
      </c>
      <c r="B34" s="161"/>
      <c r="C34" s="48" t="s">
        <v>17</v>
      </c>
      <c r="D34" s="48" t="s">
        <v>65</v>
      </c>
      <c r="E34" s="48" t="s">
        <v>65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9"/>
    </row>
    <row r="35" spans="1:27" x14ac:dyDescent="0.4">
      <c r="A35" s="34">
        <v>31</v>
      </c>
      <c r="B35" s="161"/>
      <c r="C35" s="48" t="s">
        <v>6</v>
      </c>
      <c r="D35" s="48" t="s">
        <v>66</v>
      </c>
      <c r="E35" s="48" t="s">
        <v>66</v>
      </c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9"/>
    </row>
    <row r="36" spans="1:27" x14ac:dyDescent="0.4">
      <c r="A36" s="34">
        <v>32</v>
      </c>
      <c r="B36" s="161"/>
      <c r="C36" s="50" t="s">
        <v>18</v>
      </c>
      <c r="D36" s="51">
        <v>500</v>
      </c>
      <c r="E36" s="51">
        <v>501</v>
      </c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2"/>
    </row>
    <row r="37" spans="1:27" x14ac:dyDescent="0.4">
      <c r="A37" s="34">
        <v>33</v>
      </c>
      <c r="B37" s="161" t="s">
        <v>26</v>
      </c>
      <c r="C37" s="45" t="s">
        <v>16</v>
      </c>
      <c r="D37" s="46">
        <v>43759</v>
      </c>
      <c r="E37" s="46">
        <v>43760</v>
      </c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7"/>
    </row>
    <row r="38" spans="1:27" x14ac:dyDescent="0.4">
      <c r="A38" s="34">
        <v>34</v>
      </c>
      <c r="B38" s="161"/>
      <c r="C38" s="48" t="s">
        <v>17</v>
      </c>
      <c r="D38" s="48" t="s">
        <v>65</v>
      </c>
      <c r="E38" s="48" t="s">
        <v>65</v>
      </c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9"/>
    </row>
    <row r="39" spans="1:27" x14ac:dyDescent="0.4">
      <c r="A39" s="34">
        <v>35</v>
      </c>
      <c r="B39" s="161"/>
      <c r="C39" s="48" t="s">
        <v>6</v>
      </c>
      <c r="D39" s="48" t="s">
        <v>66</v>
      </c>
      <c r="E39" s="48" t="s">
        <v>66</v>
      </c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9"/>
    </row>
    <row r="40" spans="1:27" x14ac:dyDescent="0.4">
      <c r="A40" s="34">
        <v>36</v>
      </c>
      <c r="B40" s="161"/>
      <c r="C40" s="50" t="s">
        <v>18</v>
      </c>
      <c r="D40" s="51">
        <v>500</v>
      </c>
      <c r="E40" s="51">
        <v>501</v>
      </c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2"/>
    </row>
    <row r="41" spans="1:27" x14ac:dyDescent="0.4">
      <c r="A41" s="34">
        <v>37</v>
      </c>
      <c r="B41" s="161" t="s">
        <v>27</v>
      </c>
      <c r="C41" s="45" t="s">
        <v>16</v>
      </c>
      <c r="D41" s="46">
        <v>43762</v>
      </c>
      <c r="E41" s="46">
        <v>43763</v>
      </c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7"/>
    </row>
    <row r="42" spans="1:27" x14ac:dyDescent="0.4">
      <c r="A42" s="34">
        <v>38</v>
      </c>
      <c r="B42" s="161"/>
      <c r="C42" s="48" t="s">
        <v>17</v>
      </c>
      <c r="D42" s="48" t="s">
        <v>65</v>
      </c>
      <c r="E42" s="48" t="s">
        <v>65</v>
      </c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9"/>
    </row>
    <row r="43" spans="1:27" x14ac:dyDescent="0.4">
      <c r="A43" s="34">
        <v>39</v>
      </c>
      <c r="B43" s="161"/>
      <c r="C43" s="48" t="s">
        <v>6</v>
      </c>
      <c r="D43" s="48" t="s">
        <v>66</v>
      </c>
      <c r="E43" s="48" t="s">
        <v>66</v>
      </c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9"/>
    </row>
    <row r="44" spans="1:27" x14ac:dyDescent="0.4">
      <c r="A44" s="34">
        <v>40</v>
      </c>
      <c r="B44" s="161"/>
      <c r="C44" s="50" t="s">
        <v>18</v>
      </c>
      <c r="D44" s="51">
        <v>500</v>
      </c>
      <c r="E44" s="51">
        <v>501</v>
      </c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2"/>
    </row>
    <row r="45" spans="1:27" x14ac:dyDescent="0.4">
      <c r="A45" s="34">
        <v>41</v>
      </c>
      <c r="B45" s="163" t="s">
        <v>28</v>
      </c>
      <c r="C45" s="45" t="s">
        <v>16</v>
      </c>
      <c r="D45" s="46">
        <v>43765</v>
      </c>
      <c r="E45" s="46">
        <v>43766</v>
      </c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7"/>
    </row>
    <row r="46" spans="1:27" x14ac:dyDescent="0.4">
      <c r="A46" s="34">
        <v>42</v>
      </c>
      <c r="B46" s="163"/>
      <c r="C46" s="48" t="s">
        <v>17</v>
      </c>
      <c r="D46" s="48" t="s">
        <v>65</v>
      </c>
      <c r="E46" s="48" t="s">
        <v>65</v>
      </c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9"/>
    </row>
    <row r="47" spans="1:27" x14ac:dyDescent="0.4">
      <c r="A47" s="34">
        <v>43</v>
      </c>
      <c r="B47" s="163"/>
      <c r="C47" s="48" t="s">
        <v>6</v>
      </c>
      <c r="D47" s="48" t="s">
        <v>66</v>
      </c>
      <c r="E47" s="48" t="s">
        <v>66</v>
      </c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9"/>
    </row>
    <row r="48" spans="1:27" x14ac:dyDescent="0.4">
      <c r="A48" s="34">
        <v>44</v>
      </c>
      <c r="B48" s="163"/>
      <c r="C48" s="50" t="s">
        <v>18</v>
      </c>
      <c r="D48" s="51">
        <v>500</v>
      </c>
      <c r="E48" s="51">
        <v>501</v>
      </c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2"/>
    </row>
    <row r="49" spans="1:27" x14ac:dyDescent="0.4">
      <c r="A49" s="34">
        <v>45</v>
      </c>
      <c r="B49" s="164" t="s">
        <v>30</v>
      </c>
      <c r="C49" s="53" t="s">
        <v>29</v>
      </c>
      <c r="D49" s="54">
        <v>43739</v>
      </c>
      <c r="E49" s="54">
        <v>43740</v>
      </c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5"/>
    </row>
    <row r="50" spans="1:27" x14ac:dyDescent="0.4">
      <c r="A50" s="34">
        <v>46</v>
      </c>
      <c r="B50" s="164"/>
      <c r="C50" s="56" t="s">
        <v>17</v>
      </c>
      <c r="D50" s="56" t="s">
        <v>74</v>
      </c>
      <c r="E50" s="56" t="s">
        <v>74</v>
      </c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7"/>
    </row>
    <row r="51" spans="1:27" ht="25.5" x14ac:dyDescent="0.4">
      <c r="A51" s="34">
        <v>47</v>
      </c>
      <c r="B51" s="164"/>
      <c r="C51" s="58" t="s">
        <v>70</v>
      </c>
      <c r="D51" s="56" t="s">
        <v>71</v>
      </c>
      <c r="E51" s="56" t="s">
        <v>76</v>
      </c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7"/>
    </row>
    <row r="52" spans="1:27" x14ac:dyDescent="0.4">
      <c r="A52" s="34">
        <v>48</v>
      </c>
      <c r="B52" s="164"/>
      <c r="C52" s="59" t="s">
        <v>18</v>
      </c>
      <c r="D52" s="60">
        <v>10000</v>
      </c>
      <c r="E52" s="60">
        <v>10001</v>
      </c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1"/>
    </row>
    <row r="53" spans="1:27" x14ac:dyDescent="0.4">
      <c r="A53" s="34">
        <v>49</v>
      </c>
      <c r="B53" s="164" t="s">
        <v>31</v>
      </c>
      <c r="C53" s="53" t="s">
        <v>29</v>
      </c>
      <c r="D53" s="54">
        <v>43739</v>
      </c>
      <c r="E53" s="54">
        <v>43740</v>
      </c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</row>
    <row r="54" spans="1:27" x14ac:dyDescent="0.4">
      <c r="A54" s="34">
        <v>50</v>
      </c>
      <c r="B54" s="164"/>
      <c r="C54" s="56" t="s">
        <v>17</v>
      </c>
      <c r="D54" s="56" t="s">
        <v>75</v>
      </c>
      <c r="E54" s="56" t="s">
        <v>75</v>
      </c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7"/>
    </row>
    <row r="55" spans="1:27" ht="25.5" x14ac:dyDescent="0.4">
      <c r="A55" s="34">
        <v>51</v>
      </c>
      <c r="B55" s="164"/>
      <c r="C55" s="58" t="s">
        <v>70</v>
      </c>
      <c r="D55" s="56" t="s">
        <v>72</v>
      </c>
      <c r="E55" s="56" t="s">
        <v>77</v>
      </c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</row>
    <row r="56" spans="1:27" x14ac:dyDescent="0.4">
      <c r="A56" s="34">
        <v>52</v>
      </c>
      <c r="B56" s="164"/>
      <c r="C56" s="59" t="s">
        <v>18</v>
      </c>
      <c r="D56" s="60">
        <v>10000</v>
      </c>
      <c r="E56" s="60">
        <v>10001</v>
      </c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</row>
    <row r="57" spans="1:27" x14ac:dyDescent="0.4">
      <c r="A57" s="34">
        <v>53</v>
      </c>
      <c r="B57" s="164" t="s">
        <v>32</v>
      </c>
      <c r="C57" s="53" t="s">
        <v>29</v>
      </c>
      <c r="D57" s="54">
        <v>43739</v>
      </c>
      <c r="E57" s="54">
        <v>43740</v>
      </c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</row>
    <row r="58" spans="1:27" x14ac:dyDescent="0.4">
      <c r="A58" s="34">
        <v>54</v>
      </c>
      <c r="B58" s="164"/>
      <c r="C58" s="56" t="s">
        <v>17</v>
      </c>
      <c r="D58" s="56" t="s">
        <v>69</v>
      </c>
      <c r="E58" s="56" t="s">
        <v>69</v>
      </c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</row>
    <row r="59" spans="1:27" ht="25.5" x14ac:dyDescent="0.4">
      <c r="A59" s="34">
        <v>55</v>
      </c>
      <c r="B59" s="164"/>
      <c r="C59" s="58" t="s">
        <v>70</v>
      </c>
      <c r="D59" s="56" t="s">
        <v>73</v>
      </c>
      <c r="E59" s="56" t="s">
        <v>78</v>
      </c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</row>
    <row r="60" spans="1:27" x14ac:dyDescent="0.4">
      <c r="A60" s="34">
        <v>56</v>
      </c>
      <c r="B60" s="164"/>
      <c r="C60" s="59" t="s">
        <v>18</v>
      </c>
      <c r="D60" s="60">
        <v>10000</v>
      </c>
      <c r="E60" s="60">
        <v>10001</v>
      </c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</row>
    <row r="61" spans="1:27" x14ac:dyDescent="0.4">
      <c r="A61" s="34">
        <v>57</v>
      </c>
      <c r="B61" s="172" t="s">
        <v>33</v>
      </c>
      <c r="C61" s="62" t="s">
        <v>16</v>
      </c>
      <c r="D61" s="63">
        <v>43739</v>
      </c>
      <c r="E61" s="63">
        <v>43740</v>
      </c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</row>
    <row r="62" spans="1:27" ht="25.5" x14ac:dyDescent="0.4">
      <c r="A62" s="34">
        <v>58</v>
      </c>
      <c r="B62" s="172"/>
      <c r="C62" s="65" t="s">
        <v>17</v>
      </c>
      <c r="D62" s="65" t="s">
        <v>79</v>
      </c>
      <c r="E62" s="65" t="s">
        <v>79</v>
      </c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6"/>
    </row>
    <row r="63" spans="1:27" x14ac:dyDescent="0.4">
      <c r="A63" s="34">
        <v>59</v>
      </c>
      <c r="B63" s="172"/>
      <c r="C63" s="65" t="s">
        <v>6</v>
      </c>
      <c r="D63" s="65" t="s">
        <v>81</v>
      </c>
      <c r="E63" s="65" t="s">
        <v>81</v>
      </c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6"/>
    </row>
    <row r="64" spans="1:27" x14ac:dyDescent="0.4">
      <c r="A64" s="34">
        <v>60</v>
      </c>
      <c r="B64" s="172"/>
      <c r="C64" s="67" t="s">
        <v>18</v>
      </c>
      <c r="D64" s="68">
        <v>50000</v>
      </c>
      <c r="E64" s="68">
        <v>50001</v>
      </c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9"/>
    </row>
    <row r="65" spans="1:27" x14ac:dyDescent="0.4">
      <c r="A65" s="34">
        <v>61</v>
      </c>
      <c r="B65" s="172" t="s">
        <v>40</v>
      </c>
      <c r="C65" s="62" t="s">
        <v>16</v>
      </c>
      <c r="D65" s="63">
        <v>43741</v>
      </c>
      <c r="E65" s="63">
        <v>43742</v>
      </c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4"/>
    </row>
    <row r="66" spans="1:27" ht="25.5" x14ac:dyDescent="0.4">
      <c r="A66" s="34">
        <v>62</v>
      </c>
      <c r="B66" s="172"/>
      <c r="C66" s="65" t="s">
        <v>17</v>
      </c>
      <c r="D66" s="65" t="s">
        <v>80</v>
      </c>
      <c r="E66" s="65" t="s">
        <v>80</v>
      </c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6"/>
    </row>
    <row r="67" spans="1:27" x14ac:dyDescent="0.4">
      <c r="A67" s="34">
        <v>63</v>
      </c>
      <c r="B67" s="172"/>
      <c r="C67" s="65" t="s">
        <v>6</v>
      </c>
      <c r="D67" s="65" t="s">
        <v>82</v>
      </c>
      <c r="E67" s="65" t="s">
        <v>82</v>
      </c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6"/>
    </row>
    <row r="68" spans="1:27" x14ac:dyDescent="0.4">
      <c r="A68" s="34">
        <v>64</v>
      </c>
      <c r="B68" s="172"/>
      <c r="C68" s="67" t="s">
        <v>18</v>
      </c>
      <c r="D68" s="68">
        <v>20000</v>
      </c>
      <c r="E68" s="68">
        <v>20001</v>
      </c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9"/>
    </row>
    <row r="69" spans="1:27" ht="12.75" customHeight="1" x14ac:dyDescent="0.4">
      <c r="A69" s="34">
        <v>65</v>
      </c>
      <c r="B69" s="172" t="s">
        <v>41</v>
      </c>
      <c r="C69" s="62" t="s">
        <v>16</v>
      </c>
      <c r="D69" s="63">
        <v>43744</v>
      </c>
      <c r="E69" s="63">
        <v>43745</v>
      </c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4"/>
    </row>
    <row r="70" spans="1:27" ht="25.5" x14ac:dyDescent="0.4">
      <c r="A70" s="34">
        <v>66</v>
      </c>
      <c r="B70" s="172"/>
      <c r="C70" s="65" t="s">
        <v>17</v>
      </c>
      <c r="D70" s="65" t="s">
        <v>79</v>
      </c>
      <c r="E70" s="65" t="s">
        <v>79</v>
      </c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6"/>
    </row>
    <row r="71" spans="1:27" x14ac:dyDescent="0.4">
      <c r="A71" s="34">
        <v>67</v>
      </c>
      <c r="B71" s="172"/>
      <c r="C71" s="65" t="s">
        <v>6</v>
      </c>
      <c r="D71" s="65" t="s">
        <v>81</v>
      </c>
      <c r="E71" s="65" t="s">
        <v>81</v>
      </c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6"/>
    </row>
    <row r="72" spans="1:27" x14ac:dyDescent="0.4">
      <c r="A72" s="34">
        <v>68</v>
      </c>
      <c r="B72" s="172"/>
      <c r="C72" s="67" t="s">
        <v>18</v>
      </c>
      <c r="D72" s="68">
        <v>500</v>
      </c>
      <c r="E72" s="68">
        <v>501</v>
      </c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9"/>
    </row>
    <row r="73" spans="1:27" ht="12.75" customHeight="1" x14ac:dyDescent="0.4">
      <c r="A73" s="34">
        <v>69</v>
      </c>
      <c r="B73" s="172" t="s">
        <v>42</v>
      </c>
      <c r="C73" s="62" t="s">
        <v>16</v>
      </c>
      <c r="D73" s="63">
        <v>43747</v>
      </c>
      <c r="E73" s="63">
        <v>43748</v>
      </c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4"/>
    </row>
    <row r="74" spans="1:27" ht="25.5" x14ac:dyDescent="0.4">
      <c r="A74" s="34">
        <v>70</v>
      </c>
      <c r="B74" s="172"/>
      <c r="C74" s="65" t="s">
        <v>17</v>
      </c>
      <c r="D74" s="65" t="s">
        <v>79</v>
      </c>
      <c r="E74" s="65" t="s">
        <v>79</v>
      </c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6"/>
    </row>
    <row r="75" spans="1:27" x14ac:dyDescent="0.4">
      <c r="A75" s="34">
        <v>71</v>
      </c>
      <c r="B75" s="172"/>
      <c r="C75" s="65" t="s">
        <v>6</v>
      </c>
      <c r="D75" s="65" t="s">
        <v>81</v>
      </c>
      <c r="E75" s="65" t="s">
        <v>81</v>
      </c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6"/>
    </row>
    <row r="76" spans="1:27" x14ac:dyDescent="0.4">
      <c r="A76" s="34">
        <v>72</v>
      </c>
      <c r="B76" s="172"/>
      <c r="C76" s="67" t="s">
        <v>18</v>
      </c>
      <c r="D76" s="68">
        <v>500</v>
      </c>
      <c r="E76" s="68">
        <v>501</v>
      </c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9"/>
    </row>
    <row r="77" spans="1:27" ht="12.75" customHeight="1" x14ac:dyDescent="0.4">
      <c r="A77" s="34">
        <v>73</v>
      </c>
      <c r="B77" s="172" t="s">
        <v>43</v>
      </c>
      <c r="C77" s="62" t="s">
        <v>16</v>
      </c>
      <c r="D77" s="63">
        <v>43750</v>
      </c>
      <c r="E77" s="63">
        <v>43751</v>
      </c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4"/>
    </row>
    <row r="78" spans="1:27" ht="25.5" x14ac:dyDescent="0.4">
      <c r="A78" s="34">
        <v>74</v>
      </c>
      <c r="B78" s="172"/>
      <c r="C78" s="65" t="s">
        <v>17</v>
      </c>
      <c r="D78" s="65" t="s">
        <v>79</v>
      </c>
      <c r="E78" s="65" t="s">
        <v>79</v>
      </c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6"/>
    </row>
    <row r="79" spans="1:27" x14ac:dyDescent="0.4">
      <c r="A79" s="34">
        <v>75</v>
      </c>
      <c r="B79" s="172"/>
      <c r="C79" s="65" t="s">
        <v>6</v>
      </c>
      <c r="D79" s="65" t="s">
        <v>81</v>
      </c>
      <c r="E79" s="65" t="s">
        <v>81</v>
      </c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6"/>
    </row>
    <row r="80" spans="1:27" x14ac:dyDescent="0.4">
      <c r="A80" s="34">
        <v>76</v>
      </c>
      <c r="B80" s="172"/>
      <c r="C80" s="67" t="s">
        <v>18</v>
      </c>
      <c r="D80" s="68">
        <v>500</v>
      </c>
      <c r="E80" s="68">
        <v>501</v>
      </c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9"/>
    </row>
    <row r="81" spans="1:27" ht="12.75" customHeight="1" x14ac:dyDescent="0.4">
      <c r="A81" s="34">
        <v>77</v>
      </c>
      <c r="B81" s="172" t="s">
        <v>44</v>
      </c>
      <c r="C81" s="62" t="s">
        <v>16</v>
      </c>
      <c r="D81" s="63">
        <v>43753</v>
      </c>
      <c r="E81" s="63">
        <v>43754</v>
      </c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4"/>
    </row>
    <row r="82" spans="1:27" ht="25.5" x14ac:dyDescent="0.4">
      <c r="A82" s="34">
        <v>78</v>
      </c>
      <c r="B82" s="172"/>
      <c r="C82" s="65" t="s">
        <v>17</v>
      </c>
      <c r="D82" s="65" t="s">
        <v>79</v>
      </c>
      <c r="E82" s="65" t="s">
        <v>79</v>
      </c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6"/>
    </row>
    <row r="83" spans="1:27" x14ac:dyDescent="0.4">
      <c r="A83" s="34">
        <v>79</v>
      </c>
      <c r="B83" s="172"/>
      <c r="C83" s="65" t="s">
        <v>6</v>
      </c>
      <c r="D83" s="65" t="s">
        <v>81</v>
      </c>
      <c r="E83" s="65" t="s">
        <v>81</v>
      </c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6"/>
    </row>
    <row r="84" spans="1:27" x14ac:dyDescent="0.4">
      <c r="A84" s="34">
        <v>80</v>
      </c>
      <c r="B84" s="172"/>
      <c r="C84" s="67" t="s">
        <v>18</v>
      </c>
      <c r="D84" s="68">
        <v>500</v>
      </c>
      <c r="E84" s="68">
        <v>501</v>
      </c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9"/>
    </row>
    <row r="85" spans="1:27" ht="12.75" customHeight="1" x14ac:dyDescent="0.4">
      <c r="A85" s="34">
        <v>81</v>
      </c>
      <c r="B85" s="172" t="s">
        <v>45</v>
      </c>
      <c r="C85" s="62" t="s">
        <v>16</v>
      </c>
      <c r="D85" s="63">
        <v>43756</v>
      </c>
      <c r="E85" s="63">
        <v>43757</v>
      </c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4"/>
    </row>
    <row r="86" spans="1:27" ht="25.5" x14ac:dyDescent="0.4">
      <c r="A86" s="34">
        <v>82</v>
      </c>
      <c r="B86" s="172"/>
      <c r="C86" s="65" t="s">
        <v>17</v>
      </c>
      <c r="D86" s="65" t="s">
        <v>79</v>
      </c>
      <c r="E86" s="65" t="s">
        <v>79</v>
      </c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6"/>
    </row>
    <row r="87" spans="1:27" x14ac:dyDescent="0.4">
      <c r="A87" s="34">
        <v>83</v>
      </c>
      <c r="B87" s="172"/>
      <c r="C87" s="65" t="s">
        <v>6</v>
      </c>
      <c r="D87" s="65" t="s">
        <v>81</v>
      </c>
      <c r="E87" s="65" t="s">
        <v>81</v>
      </c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6"/>
    </row>
    <row r="88" spans="1:27" x14ac:dyDescent="0.4">
      <c r="A88" s="34">
        <v>84</v>
      </c>
      <c r="B88" s="172"/>
      <c r="C88" s="67" t="s">
        <v>18</v>
      </c>
      <c r="D88" s="68">
        <v>500</v>
      </c>
      <c r="E88" s="68">
        <v>501</v>
      </c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9"/>
    </row>
    <row r="89" spans="1:27" ht="12.75" customHeight="1" x14ac:dyDescent="0.4">
      <c r="A89" s="34">
        <v>85</v>
      </c>
      <c r="B89" s="172" t="s">
        <v>46</v>
      </c>
      <c r="C89" s="62" t="s">
        <v>16</v>
      </c>
      <c r="D89" s="63">
        <v>43759</v>
      </c>
      <c r="E89" s="63">
        <v>43760</v>
      </c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4"/>
    </row>
    <row r="90" spans="1:27" ht="25.5" x14ac:dyDescent="0.4">
      <c r="A90" s="34">
        <v>86</v>
      </c>
      <c r="B90" s="172"/>
      <c r="C90" s="65" t="s">
        <v>17</v>
      </c>
      <c r="D90" s="65" t="s">
        <v>79</v>
      </c>
      <c r="E90" s="65" t="s">
        <v>79</v>
      </c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6"/>
    </row>
    <row r="91" spans="1:27" x14ac:dyDescent="0.4">
      <c r="A91" s="34">
        <v>87</v>
      </c>
      <c r="B91" s="172"/>
      <c r="C91" s="65" t="s">
        <v>6</v>
      </c>
      <c r="D91" s="65" t="s">
        <v>81</v>
      </c>
      <c r="E91" s="65" t="s">
        <v>81</v>
      </c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6"/>
    </row>
    <row r="92" spans="1:27" x14ac:dyDescent="0.4">
      <c r="A92" s="34">
        <v>88</v>
      </c>
      <c r="B92" s="172"/>
      <c r="C92" s="67" t="s">
        <v>18</v>
      </c>
      <c r="D92" s="68">
        <v>500</v>
      </c>
      <c r="E92" s="68">
        <v>501</v>
      </c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9"/>
    </row>
    <row r="93" spans="1:27" ht="12.75" customHeight="1" x14ac:dyDescent="0.4">
      <c r="A93" s="34">
        <v>89</v>
      </c>
      <c r="B93" s="172" t="s">
        <v>47</v>
      </c>
      <c r="C93" s="62" t="s">
        <v>16</v>
      </c>
      <c r="D93" s="63">
        <v>43762</v>
      </c>
      <c r="E93" s="63">
        <v>43763</v>
      </c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4"/>
    </row>
    <row r="94" spans="1:27" ht="25.5" x14ac:dyDescent="0.4">
      <c r="A94" s="34">
        <v>90</v>
      </c>
      <c r="B94" s="172"/>
      <c r="C94" s="65" t="s">
        <v>17</v>
      </c>
      <c r="D94" s="65" t="s">
        <v>79</v>
      </c>
      <c r="E94" s="65" t="s">
        <v>79</v>
      </c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6"/>
    </row>
    <row r="95" spans="1:27" x14ac:dyDescent="0.4">
      <c r="A95" s="34">
        <v>91</v>
      </c>
      <c r="B95" s="172"/>
      <c r="C95" s="65" t="s">
        <v>6</v>
      </c>
      <c r="D95" s="65" t="s">
        <v>81</v>
      </c>
      <c r="E95" s="65" t="s">
        <v>81</v>
      </c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6"/>
    </row>
    <row r="96" spans="1:27" x14ac:dyDescent="0.4">
      <c r="A96" s="34">
        <v>92</v>
      </c>
      <c r="B96" s="172"/>
      <c r="C96" s="67" t="s">
        <v>18</v>
      </c>
      <c r="D96" s="68">
        <v>500</v>
      </c>
      <c r="E96" s="68">
        <v>501</v>
      </c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9"/>
    </row>
    <row r="97" spans="1:27" ht="12.75" customHeight="1" x14ac:dyDescent="0.4">
      <c r="A97" s="34">
        <v>93</v>
      </c>
      <c r="B97" s="165" t="s">
        <v>48</v>
      </c>
      <c r="C97" s="62" t="s">
        <v>16</v>
      </c>
      <c r="D97" s="63">
        <v>43765</v>
      </c>
      <c r="E97" s="63">
        <v>43766</v>
      </c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4"/>
    </row>
    <row r="98" spans="1:27" ht="25.5" x14ac:dyDescent="0.4">
      <c r="A98" s="34">
        <v>94</v>
      </c>
      <c r="B98" s="165"/>
      <c r="C98" s="65" t="s">
        <v>17</v>
      </c>
      <c r="D98" s="65" t="s">
        <v>79</v>
      </c>
      <c r="E98" s="65" t="s">
        <v>79</v>
      </c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6"/>
    </row>
    <row r="99" spans="1:27" x14ac:dyDescent="0.4">
      <c r="A99" s="34">
        <v>95</v>
      </c>
      <c r="B99" s="165"/>
      <c r="C99" s="65" t="s">
        <v>6</v>
      </c>
      <c r="D99" s="65" t="s">
        <v>81</v>
      </c>
      <c r="E99" s="65" t="s">
        <v>81</v>
      </c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6"/>
    </row>
    <row r="100" spans="1:27" x14ac:dyDescent="0.4">
      <c r="A100" s="34">
        <v>96</v>
      </c>
      <c r="B100" s="165"/>
      <c r="C100" s="67" t="s">
        <v>18</v>
      </c>
      <c r="D100" s="68">
        <v>500</v>
      </c>
      <c r="E100" s="68">
        <v>501</v>
      </c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9"/>
    </row>
    <row r="101" spans="1:27" ht="25.5" x14ac:dyDescent="0.4">
      <c r="A101" s="34">
        <v>97</v>
      </c>
      <c r="B101" s="166" t="s">
        <v>34</v>
      </c>
      <c r="C101" s="23" t="s">
        <v>35</v>
      </c>
      <c r="D101" s="23" t="s">
        <v>83</v>
      </c>
      <c r="E101" s="23" t="s">
        <v>83</v>
      </c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70"/>
    </row>
    <row r="102" spans="1:27" ht="51" x14ac:dyDescent="0.4">
      <c r="A102" s="34">
        <v>98</v>
      </c>
      <c r="B102" s="166"/>
      <c r="C102" s="24" t="s">
        <v>36</v>
      </c>
      <c r="D102" s="24" t="s">
        <v>84</v>
      </c>
      <c r="E102" s="24" t="s">
        <v>84</v>
      </c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71"/>
    </row>
    <row r="103" spans="1:27" ht="25.5" x14ac:dyDescent="0.4">
      <c r="A103" s="34">
        <v>99</v>
      </c>
      <c r="B103" s="166"/>
      <c r="C103" s="24" t="s">
        <v>37</v>
      </c>
      <c r="D103" s="24" t="s">
        <v>85</v>
      </c>
      <c r="E103" s="24" t="s">
        <v>85</v>
      </c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71"/>
    </row>
    <row r="104" spans="1:27" x14ac:dyDescent="0.4">
      <c r="A104" s="34">
        <v>100</v>
      </c>
      <c r="B104" s="166"/>
      <c r="C104" s="25" t="s">
        <v>38</v>
      </c>
      <c r="D104" s="25" t="s">
        <v>86</v>
      </c>
      <c r="E104" s="25" t="s">
        <v>86</v>
      </c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72"/>
    </row>
  </sheetData>
  <mergeCells count="29">
    <mergeCell ref="B97:B100"/>
    <mergeCell ref="B101:B104"/>
    <mergeCell ref="B6:B8"/>
    <mergeCell ref="A2:B2"/>
    <mergeCell ref="A3:B3"/>
    <mergeCell ref="B77:B80"/>
    <mergeCell ref="B81:B84"/>
    <mergeCell ref="B85:B88"/>
    <mergeCell ref="B89:B92"/>
    <mergeCell ref="B93:B96"/>
    <mergeCell ref="B57:B60"/>
    <mergeCell ref="B61:B64"/>
    <mergeCell ref="B65:B68"/>
    <mergeCell ref="B69:B72"/>
    <mergeCell ref="B73:B76"/>
    <mergeCell ref="B37:B40"/>
    <mergeCell ref="B41:B44"/>
    <mergeCell ref="B45:B48"/>
    <mergeCell ref="B49:B52"/>
    <mergeCell ref="B53:B56"/>
    <mergeCell ref="B29:B32"/>
    <mergeCell ref="B9:B12"/>
    <mergeCell ref="B13:B16"/>
    <mergeCell ref="B17:B20"/>
    <mergeCell ref="B33:B36"/>
    <mergeCell ref="D2:E2"/>
    <mergeCell ref="D3:E3"/>
    <mergeCell ref="B21:B24"/>
    <mergeCell ref="B25:B2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出張・交通費申請書（出力）</vt:lpstr>
      <vt:lpstr>入力シート</vt:lpstr>
      <vt:lpstr>'出張・交通費申請書（出力）'!Print_Area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2019-10-03T05:40:54Z</cp:lastPrinted>
  <dcterms:created xsi:type="dcterms:W3CDTF">2019-09-25T12:12:32Z</dcterms:created>
  <dcterms:modified xsi:type="dcterms:W3CDTF">2019-10-29T14:50:59Z</dcterms:modified>
</cp:coreProperties>
</file>