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mt.sakota\Desktop\新しいフォルダー (5)\"/>
    </mc:Choice>
  </mc:AlternateContent>
  <xr:revisionPtr revIDLastSave="0" documentId="13_ncr:1_{766BCA61-9503-4F4D-9A94-9E7A4C4B1442}" xr6:coauthVersionLast="45" xr6:coauthVersionMax="45" xr10:uidLastSave="{00000000-0000-0000-0000-000000000000}"/>
  <bookViews>
    <workbookView xWindow="-120" yWindow="-120" windowWidth="38640" windowHeight="21240" xr2:uid="{095ACB95-195C-4299-B93C-D6D70B137F7C}"/>
  </bookViews>
  <sheets>
    <sheet name="会計報告書（出力）" sheetId="1" r:id="rId1"/>
    <sheet name="入力シート" sheetId="4" r:id="rId2"/>
  </sheets>
  <definedNames>
    <definedName name="_xlnm.Print_Area" localSheetId="0">'会計報告書（出力）'!$A$1:$S$49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3" i="1" l="1"/>
  <c r="K41" i="1"/>
  <c r="H41" i="1"/>
  <c r="B41" i="1"/>
  <c r="K40" i="1"/>
  <c r="H40" i="1"/>
  <c r="B40" i="1"/>
  <c r="A39" i="1" s="1"/>
  <c r="K39" i="1"/>
  <c r="H39" i="1"/>
  <c r="B39" i="1"/>
  <c r="K38" i="1"/>
  <c r="Q38" i="1" s="1"/>
  <c r="H38" i="1"/>
  <c r="B38" i="1"/>
  <c r="A37" i="1" s="1"/>
  <c r="K37" i="1"/>
  <c r="H37" i="1"/>
  <c r="B37" i="1"/>
  <c r="K36" i="1"/>
  <c r="Q36" i="1" s="1"/>
  <c r="H36" i="1"/>
  <c r="B36" i="1"/>
  <c r="A36" i="1" s="1"/>
  <c r="K35" i="1"/>
  <c r="H35" i="1"/>
  <c r="B35" i="1"/>
  <c r="K34" i="1"/>
  <c r="H34" i="1"/>
  <c r="B34" i="1"/>
  <c r="A33" i="1" s="1"/>
  <c r="K33" i="1"/>
  <c r="H33" i="1"/>
  <c r="B33" i="1"/>
  <c r="K32" i="1"/>
  <c r="H32" i="1"/>
  <c r="B32" i="1"/>
  <c r="A32" i="1" s="1"/>
  <c r="K31" i="1"/>
  <c r="H31" i="1"/>
  <c r="B31" i="1"/>
  <c r="K30" i="1"/>
  <c r="Q30" i="1" s="1"/>
  <c r="H30" i="1"/>
  <c r="B30" i="1"/>
  <c r="A30" i="1" s="1"/>
  <c r="K29" i="1"/>
  <c r="H29" i="1"/>
  <c r="B29" i="1"/>
  <c r="K28" i="1"/>
  <c r="Q28" i="1" s="1"/>
  <c r="H28" i="1"/>
  <c r="B28" i="1"/>
  <c r="A28" i="1" s="1"/>
  <c r="K27" i="1"/>
  <c r="H27" i="1"/>
  <c r="B27" i="1"/>
  <c r="K26" i="1"/>
  <c r="H26" i="1"/>
  <c r="B26" i="1"/>
  <c r="A25" i="1" s="1"/>
  <c r="K25" i="1"/>
  <c r="H25" i="1"/>
  <c r="B25" i="1"/>
  <c r="K24" i="1"/>
  <c r="H24" i="1"/>
  <c r="B24" i="1"/>
  <c r="A24" i="1" s="1"/>
  <c r="K23" i="1"/>
  <c r="H18" i="1"/>
  <c r="B23" i="1"/>
  <c r="B18" i="1"/>
  <c r="A41" i="1"/>
  <c r="Q26" i="1" l="1"/>
  <c r="Q34" i="1"/>
  <c r="Q24" i="1"/>
  <c r="Q32" i="1"/>
  <c r="Q40" i="1"/>
  <c r="Q23" i="1"/>
  <c r="Q27" i="1"/>
  <c r="Q31" i="1"/>
  <c r="Q35" i="1"/>
  <c r="Q39" i="1"/>
  <c r="Q25" i="1"/>
  <c r="Q29" i="1"/>
  <c r="Q33" i="1"/>
  <c r="Q37" i="1"/>
  <c r="Q41" i="1"/>
  <c r="N26" i="1"/>
  <c r="N27" i="1"/>
  <c r="N30" i="1"/>
  <c r="N31" i="1"/>
  <c r="N34" i="1"/>
  <c r="N35" i="1"/>
  <c r="N38" i="1"/>
  <c r="N39" i="1"/>
  <c r="N29" i="1"/>
  <c r="N41" i="1"/>
  <c r="N25" i="1"/>
  <c r="N33" i="1"/>
  <c r="N37" i="1"/>
  <c r="N24" i="1"/>
  <c r="N28" i="1"/>
  <c r="N32" i="1"/>
  <c r="N36" i="1"/>
  <c r="N40" i="1"/>
  <c r="H42" i="1"/>
  <c r="K42" i="1"/>
  <c r="N46" i="1" s="1"/>
  <c r="N23" i="1"/>
  <c r="A40" i="1"/>
  <c r="A38" i="1"/>
  <c r="A35" i="1"/>
  <c r="A34" i="1"/>
  <c r="A31" i="1"/>
  <c r="A29" i="1"/>
  <c r="A27" i="1"/>
  <c r="A26" i="1"/>
  <c r="A23" i="1"/>
  <c r="K18" i="1"/>
  <c r="Q18" i="1" s="1"/>
  <c r="K17" i="1"/>
  <c r="K16" i="1"/>
  <c r="K15" i="1"/>
  <c r="K14" i="1"/>
  <c r="K13" i="1"/>
  <c r="K12" i="1"/>
  <c r="K11" i="1"/>
  <c r="H12" i="1"/>
  <c r="H17" i="1"/>
  <c r="H16" i="1"/>
  <c r="H15" i="1"/>
  <c r="H14" i="1"/>
  <c r="H13" i="1"/>
  <c r="A18" i="1"/>
  <c r="B17" i="1"/>
  <c r="A17" i="1" s="1"/>
  <c r="B16" i="1"/>
  <c r="A16" i="1" s="1"/>
  <c r="B15" i="1"/>
  <c r="A15" i="1" s="1"/>
  <c r="B14" i="1"/>
  <c r="A14" i="1" s="1"/>
  <c r="B13" i="1"/>
  <c r="A13" i="1" s="1"/>
  <c r="B12" i="1"/>
  <c r="A12" i="1" s="1"/>
  <c r="H11" i="1"/>
  <c r="B11" i="1"/>
  <c r="A11" i="1" s="1"/>
  <c r="P1" i="1"/>
  <c r="D2" i="1"/>
  <c r="G6" i="1"/>
  <c r="B6" i="1"/>
  <c r="B10" i="1"/>
  <c r="A10" i="1" s="1"/>
  <c r="A5" i="1"/>
  <c r="K10" i="1"/>
  <c r="H10" i="1"/>
  <c r="R42" i="1" l="1"/>
  <c r="Q12" i="1"/>
  <c r="Q10" i="1"/>
  <c r="Q13" i="1"/>
  <c r="Q17" i="1"/>
  <c r="Q16" i="1"/>
  <c r="Q14" i="1"/>
  <c r="Q11" i="1"/>
  <c r="Q15" i="1"/>
  <c r="N12" i="1"/>
  <c r="N14" i="1"/>
  <c r="N11" i="1"/>
  <c r="N18" i="1"/>
  <c r="H19" i="1"/>
  <c r="N42" i="1"/>
  <c r="N15" i="1"/>
  <c r="N10" i="1"/>
  <c r="N17" i="1"/>
  <c r="N16" i="1"/>
  <c r="K19" i="1"/>
  <c r="N13" i="1"/>
  <c r="R19" i="1" l="1"/>
  <c r="N45" i="1"/>
  <c r="N47" i="1" s="1"/>
  <c r="N19" i="1"/>
</calcChain>
</file>

<file path=xl/sharedStrings.xml><?xml version="1.0" encoding="utf-8"?>
<sst xmlns="http://schemas.openxmlformats.org/spreadsheetml/2006/main" count="190" uniqueCount="72">
  <si>
    <t>起票年月日</t>
    <rPh sb="0" eb="2">
      <t>キヒョウ</t>
    </rPh>
    <rPh sb="2" eb="5">
      <t>ネンガッピ</t>
    </rPh>
    <phoneticPr fontId="1"/>
  </si>
  <si>
    <t>記入例</t>
    <rPh sb="0" eb="2">
      <t>キニュウ</t>
    </rPh>
    <rPh sb="2" eb="3">
      <t>レイ</t>
    </rPh>
    <phoneticPr fontId="1"/>
  </si>
  <si>
    <t>2019年10月改定版</t>
    <rPh sb="4" eb="5">
      <t>ネン</t>
    </rPh>
    <rPh sb="7" eb="8">
      <t>ガツ</t>
    </rPh>
    <rPh sb="8" eb="10">
      <t>カイテイ</t>
    </rPh>
    <rPh sb="10" eb="11">
      <t>バン</t>
    </rPh>
    <phoneticPr fontId="1"/>
  </si>
  <si>
    <t>2019年度</t>
    <rPh sb="4" eb="6">
      <t>ネンド</t>
    </rPh>
    <phoneticPr fontId="1"/>
  </si>
  <si>
    <t>（単位：円）</t>
    <rPh sb="1" eb="3">
      <t>タンイ</t>
    </rPh>
    <rPh sb="4" eb="5">
      <t>エン</t>
    </rPh>
    <phoneticPr fontId="1"/>
  </si>
  <si>
    <t>項目</t>
    <rPh sb="0" eb="2">
      <t>コウモク</t>
    </rPh>
    <phoneticPr fontId="1"/>
  </si>
  <si>
    <t>予算実行率</t>
    <rPh sb="0" eb="2">
      <t>ヨサン</t>
    </rPh>
    <rPh sb="2" eb="4">
      <t>ジッコウ</t>
    </rPh>
    <rPh sb="4" eb="5">
      <t>リツ</t>
    </rPh>
    <phoneticPr fontId="1"/>
  </si>
  <si>
    <t>収入額（実績）</t>
    <rPh sb="0" eb="2">
      <t>シュウニュウ</t>
    </rPh>
    <rPh sb="2" eb="3">
      <t>ガク</t>
    </rPh>
    <rPh sb="4" eb="6">
      <t>ジッセキ</t>
    </rPh>
    <phoneticPr fontId="1"/>
  </si>
  <si>
    <t>予算額</t>
    <rPh sb="0" eb="2">
      <t>ヨサン</t>
    </rPh>
    <rPh sb="2" eb="3">
      <t>ガク</t>
    </rPh>
    <phoneticPr fontId="1"/>
  </si>
  <si>
    <t>増減額</t>
    <rPh sb="0" eb="2">
      <t>ゾウゲン</t>
    </rPh>
    <rPh sb="2" eb="3">
      <t>ガク</t>
    </rPh>
    <phoneticPr fontId="1"/>
  </si>
  <si>
    <t>No</t>
    <phoneticPr fontId="1"/>
  </si>
  <si>
    <t>【収入の部】</t>
    <rPh sb="1" eb="3">
      <t>シュウニュウ</t>
    </rPh>
    <rPh sb="4" eb="5">
      <t>ブ</t>
    </rPh>
    <phoneticPr fontId="1"/>
  </si>
  <si>
    <t>【支出の部】</t>
    <rPh sb="1" eb="3">
      <t>シシュツ</t>
    </rPh>
    <rPh sb="4" eb="5">
      <t>ブ</t>
    </rPh>
    <phoneticPr fontId="1"/>
  </si>
  <si>
    <t>合計</t>
    <rPh sb="0" eb="2">
      <t>ゴウケイ</t>
    </rPh>
    <phoneticPr fontId="1"/>
  </si>
  <si>
    <t>会計番号</t>
    <rPh sb="0" eb="2">
      <t>カイケイ</t>
    </rPh>
    <rPh sb="2" eb="4">
      <t>バンゴウ</t>
    </rPh>
    <phoneticPr fontId="1"/>
  </si>
  <si>
    <t>自：</t>
    <rPh sb="0" eb="1">
      <t>ジ</t>
    </rPh>
    <phoneticPr fontId="1"/>
  </si>
  <si>
    <t>至：</t>
    <rPh sb="0" eb="1">
      <t>イタ</t>
    </rPh>
    <phoneticPr fontId="1"/>
  </si>
  <si>
    <t>自</t>
    <rPh sb="0" eb="1">
      <t>ジ</t>
    </rPh>
    <phoneticPr fontId="1"/>
  </si>
  <si>
    <t>至</t>
    <rPh sb="0" eb="1">
      <t>イタ</t>
    </rPh>
    <phoneticPr fontId="1"/>
  </si>
  <si>
    <t>会計番号</t>
    <rPh sb="0" eb="2">
      <t>カイケイ</t>
    </rPh>
    <rPh sb="2" eb="4">
      <t>バンゴウ</t>
    </rPh>
    <rPh sb="3" eb="4">
      <t>コウバン</t>
    </rPh>
    <phoneticPr fontId="1"/>
  </si>
  <si>
    <t>収入１</t>
    <rPh sb="0" eb="2">
      <t>シュウニュウ</t>
    </rPh>
    <phoneticPr fontId="1"/>
  </si>
  <si>
    <t>収入２</t>
    <rPh sb="0" eb="2">
      <t>シュウニュウ</t>
    </rPh>
    <phoneticPr fontId="1"/>
  </si>
  <si>
    <t>収入３</t>
    <rPh sb="0" eb="2">
      <t>シュウニュウ</t>
    </rPh>
    <phoneticPr fontId="1"/>
  </si>
  <si>
    <t>収入４</t>
    <rPh sb="0" eb="2">
      <t>シュウニュウ</t>
    </rPh>
    <phoneticPr fontId="1"/>
  </si>
  <si>
    <t>収入５</t>
    <rPh sb="0" eb="2">
      <t>シュウニュウ</t>
    </rPh>
    <phoneticPr fontId="1"/>
  </si>
  <si>
    <t>収入６</t>
    <rPh sb="0" eb="2">
      <t>シュウニュウ</t>
    </rPh>
    <phoneticPr fontId="1"/>
  </si>
  <si>
    <t>収入７</t>
    <rPh sb="0" eb="2">
      <t>シュウニュウ</t>
    </rPh>
    <phoneticPr fontId="1"/>
  </si>
  <si>
    <t>収入８</t>
    <rPh sb="0" eb="2">
      <t>シュウニュウ</t>
    </rPh>
    <phoneticPr fontId="1"/>
  </si>
  <si>
    <t>収入９</t>
    <rPh sb="0" eb="2">
      <t>シュウニュウ</t>
    </rPh>
    <phoneticPr fontId="1"/>
  </si>
  <si>
    <t>項目</t>
    <rPh sb="0" eb="2">
      <t>コウモク</t>
    </rPh>
    <phoneticPr fontId="1"/>
  </si>
  <si>
    <t>支出１</t>
    <rPh sb="0" eb="2">
      <t>シシュツ</t>
    </rPh>
    <phoneticPr fontId="1"/>
  </si>
  <si>
    <t>支出２</t>
    <rPh sb="0" eb="2">
      <t>シシュツ</t>
    </rPh>
    <phoneticPr fontId="1"/>
  </si>
  <si>
    <t>支出３</t>
    <rPh sb="0" eb="2">
      <t>シシュツ</t>
    </rPh>
    <phoneticPr fontId="1"/>
  </si>
  <si>
    <t>支出４</t>
    <rPh sb="0" eb="2">
      <t>シシュツ</t>
    </rPh>
    <phoneticPr fontId="1"/>
  </si>
  <si>
    <t>支出５</t>
    <rPh sb="0" eb="2">
      <t>シシュツ</t>
    </rPh>
    <phoneticPr fontId="1"/>
  </si>
  <si>
    <t>支出６</t>
    <rPh sb="0" eb="2">
      <t>シシュツ</t>
    </rPh>
    <phoneticPr fontId="1"/>
  </si>
  <si>
    <t>支出７</t>
    <rPh sb="0" eb="2">
      <t>シシュツ</t>
    </rPh>
    <phoneticPr fontId="1"/>
  </si>
  <si>
    <t>支出８</t>
    <rPh sb="0" eb="2">
      <t>シシュツ</t>
    </rPh>
    <phoneticPr fontId="1"/>
  </si>
  <si>
    <t>支出９</t>
    <rPh sb="0" eb="2">
      <t>シシュツ</t>
    </rPh>
    <phoneticPr fontId="1"/>
  </si>
  <si>
    <t>支出　１０</t>
    <rPh sb="0" eb="2">
      <t>シシュツ</t>
    </rPh>
    <phoneticPr fontId="1"/>
  </si>
  <si>
    <t>支出　１１</t>
    <rPh sb="0" eb="2">
      <t>シシュツ</t>
    </rPh>
    <phoneticPr fontId="1"/>
  </si>
  <si>
    <t>支出　１２</t>
    <rPh sb="0" eb="2">
      <t>シシュツ</t>
    </rPh>
    <phoneticPr fontId="1"/>
  </si>
  <si>
    <t>支出　１３</t>
    <rPh sb="0" eb="2">
      <t>シシュツ</t>
    </rPh>
    <phoneticPr fontId="1"/>
  </si>
  <si>
    <t>支出　１４</t>
    <rPh sb="0" eb="2">
      <t>シシュツ</t>
    </rPh>
    <phoneticPr fontId="1"/>
  </si>
  <si>
    <t>支出　１５</t>
    <rPh sb="0" eb="2">
      <t>シシュツ</t>
    </rPh>
    <phoneticPr fontId="1"/>
  </si>
  <si>
    <t>支出　１６</t>
    <rPh sb="0" eb="2">
      <t>シシュツ</t>
    </rPh>
    <phoneticPr fontId="1"/>
  </si>
  <si>
    <t>支出　１７</t>
    <rPh sb="0" eb="2">
      <t>シシュツ</t>
    </rPh>
    <phoneticPr fontId="1"/>
  </si>
  <si>
    <t>支出　１８</t>
    <rPh sb="0" eb="2">
      <t>シシュツ</t>
    </rPh>
    <phoneticPr fontId="1"/>
  </si>
  <si>
    <t>支出　１９</t>
    <rPh sb="0" eb="2">
      <t>シシュツ</t>
    </rPh>
    <phoneticPr fontId="1"/>
  </si>
  <si>
    <t>2020年上期</t>
    <rPh sb="4" eb="5">
      <t>ネン</t>
    </rPh>
    <rPh sb="5" eb="7">
      <t>カミキ</t>
    </rPh>
    <phoneticPr fontId="1"/>
  </si>
  <si>
    <t>会計年度等</t>
    <rPh sb="0" eb="2">
      <t>カイケイ</t>
    </rPh>
    <rPh sb="2" eb="4">
      <t>ネンド</t>
    </rPh>
    <rPh sb="4" eb="5">
      <t>トウ</t>
    </rPh>
    <phoneticPr fontId="1"/>
  </si>
  <si>
    <t>管理費収入</t>
    <rPh sb="0" eb="3">
      <t>カンリヒ</t>
    </rPh>
    <rPh sb="3" eb="5">
      <t>シュウニュウ</t>
    </rPh>
    <phoneticPr fontId="1"/>
  </si>
  <si>
    <t>○○○○マンション管理組合　管理費会計</t>
    <rPh sb="9" eb="11">
      <t>カンリ</t>
    </rPh>
    <rPh sb="11" eb="13">
      <t>クミアイ</t>
    </rPh>
    <rPh sb="14" eb="17">
      <t>カンリヒ</t>
    </rPh>
    <rPh sb="17" eb="19">
      <t>カイケイ</t>
    </rPh>
    <phoneticPr fontId="1"/>
  </si>
  <si>
    <t>会社名・団体等　　　　および会計内容</t>
    <rPh sb="0" eb="3">
      <t>カイシャメイ</t>
    </rPh>
    <rPh sb="4" eb="6">
      <t>ダンタイ</t>
    </rPh>
    <rPh sb="6" eb="7">
      <t>トウ</t>
    </rPh>
    <rPh sb="14" eb="16">
      <t>カイケイ</t>
    </rPh>
    <rPh sb="16" eb="18">
      <t>ナイヨウ</t>
    </rPh>
    <phoneticPr fontId="1"/>
  </si>
  <si>
    <t>会　計　報　告　書</t>
    <rPh sb="0" eb="1">
      <t>カイ</t>
    </rPh>
    <rPh sb="2" eb="3">
      <t>ケイ</t>
    </rPh>
    <rPh sb="4" eb="5">
      <t>ホウ</t>
    </rPh>
    <rPh sb="6" eb="7">
      <t>コク</t>
    </rPh>
    <rPh sb="8" eb="9">
      <t>ショ</t>
    </rPh>
    <phoneticPr fontId="1"/>
  </si>
  <si>
    <t>予算額（円）</t>
    <rPh sb="0" eb="3">
      <t>ヨサンガク</t>
    </rPh>
    <rPh sb="4" eb="5">
      <t>エン</t>
    </rPh>
    <phoneticPr fontId="1"/>
  </si>
  <si>
    <t>収入額（実績）（円）</t>
    <rPh sb="0" eb="2">
      <t>シュウニュウ</t>
    </rPh>
    <rPh sb="2" eb="3">
      <t>ガク</t>
    </rPh>
    <rPh sb="4" eb="6">
      <t>ジッセキ</t>
    </rPh>
    <rPh sb="8" eb="9">
      <t>エン</t>
    </rPh>
    <phoneticPr fontId="1"/>
  </si>
  <si>
    <t>支出額（実績）（円）</t>
    <rPh sb="0" eb="2">
      <t>シシュツ</t>
    </rPh>
    <rPh sb="2" eb="3">
      <t>ガク</t>
    </rPh>
    <rPh sb="4" eb="6">
      <t>ジッセキ</t>
    </rPh>
    <rPh sb="8" eb="9">
      <t>エン</t>
    </rPh>
    <phoneticPr fontId="1"/>
  </si>
  <si>
    <t>管理委託費</t>
    <rPh sb="0" eb="2">
      <t>カンリ</t>
    </rPh>
    <rPh sb="2" eb="4">
      <t>イタク</t>
    </rPh>
    <rPh sb="4" eb="5">
      <t>ヒ</t>
    </rPh>
    <phoneticPr fontId="1"/>
  </si>
  <si>
    <t>消防設備点検費</t>
    <rPh sb="0" eb="2">
      <t>ショウボウ</t>
    </rPh>
    <rPh sb="2" eb="4">
      <t>セツビ</t>
    </rPh>
    <rPh sb="4" eb="6">
      <t>テンケン</t>
    </rPh>
    <rPh sb="6" eb="7">
      <t>ヒ</t>
    </rPh>
    <phoneticPr fontId="1"/>
  </si>
  <si>
    <t>エレベーター保守費</t>
    <rPh sb="6" eb="8">
      <t>ホシュ</t>
    </rPh>
    <rPh sb="8" eb="9">
      <t>ヒ</t>
    </rPh>
    <phoneticPr fontId="1"/>
  </si>
  <si>
    <t>配管洗浄費</t>
    <rPh sb="0" eb="2">
      <t>ハイカン</t>
    </rPh>
    <rPh sb="2" eb="4">
      <t>センジョウ</t>
    </rPh>
    <rPh sb="4" eb="5">
      <t>ヒ</t>
    </rPh>
    <phoneticPr fontId="1"/>
  </si>
  <si>
    <t>駐車場使用収入</t>
    <rPh sb="0" eb="3">
      <t>チュウシャジョウ</t>
    </rPh>
    <rPh sb="3" eb="5">
      <t>シヨウ</t>
    </rPh>
    <rPh sb="5" eb="7">
      <t>シュウニュウ</t>
    </rPh>
    <phoneticPr fontId="1"/>
  </si>
  <si>
    <t>駐輪場使用収入</t>
    <rPh sb="0" eb="3">
      <t>チュウリンジョウ</t>
    </rPh>
    <rPh sb="3" eb="5">
      <t>シヨウ</t>
    </rPh>
    <rPh sb="5" eb="7">
      <t>シュウニュウ</t>
    </rPh>
    <phoneticPr fontId="1"/>
  </si>
  <si>
    <t>バイク置き場使用収入</t>
    <rPh sb="3" eb="4">
      <t>オ</t>
    </rPh>
    <rPh sb="5" eb="6">
      <t>バ</t>
    </rPh>
    <rPh sb="6" eb="8">
      <t>シヨウ</t>
    </rPh>
    <rPh sb="8" eb="10">
      <t>シュウニュウ</t>
    </rPh>
    <phoneticPr fontId="1"/>
  </si>
  <si>
    <t>その他収入</t>
    <rPh sb="2" eb="3">
      <t>タ</t>
    </rPh>
    <rPh sb="3" eb="5">
      <t>シュウニュウ</t>
    </rPh>
    <phoneticPr fontId="1"/>
  </si>
  <si>
    <t>雑費</t>
    <rPh sb="0" eb="2">
      <t>ザッピ</t>
    </rPh>
    <phoneticPr fontId="1"/>
  </si>
  <si>
    <t>平均</t>
    <rPh sb="0" eb="2">
      <t>ヘイキン</t>
    </rPh>
    <phoneticPr fontId="1"/>
  </si>
  <si>
    <t xml:space="preserve"> </t>
    <phoneticPr fontId="1"/>
  </si>
  <si>
    <t>収入の合計</t>
    <rPh sb="0" eb="2">
      <t>シュウニュウ</t>
    </rPh>
    <rPh sb="3" eb="5">
      <t>ゴウケイ</t>
    </rPh>
    <phoneticPr fontId="1"/>
  </si>
  <si>
    <t>支出の合計</t>
    <rPh sb="0" eb="2">
      <t>シシュツ</t>
    </rPh>
    <rPh sb="3" eb="5">
      <t>ゴウケイ</t>
    </rPh>
    <phoneticPr fontId="1"/>
  </si>
  <si>
    <t>差引残高</t>
    <rPh sb="0" eb="2">
      <t>サシヒキ</t>
    </rPh>
    <rPh sb="2" eb="4">
      <t>ザンダカ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</si>
</sst>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&quot;円&quot;"/>
    <numFmt numFmtId="177" formatCode="yyyy&quot;年&quot;m&quot;月&quot;;@"/>
    <numFmt numFmtId="178" formatCode="[$-F800]dddd\,\ mmmm\ dd\,\ yyyy"/>
    <numFmt numFmtId="179" formatCode="#,##0_ "/>
    <numFmt numFmtId="180" formatCode="#,##0_);[Red]\(#,##0\)"/>
    <numFmt numFmtId="181" formatCode="#,##0;&quot;▲ &quot;#,##0"/>
  </numFmts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3"/>
      <charset val="128"/>
    </font>
    <font>
      <b/>
      <sz val="10"/>
      <color theme="1"/>
      <name val="游ゴシック"/>
      <family val="3"/>
      <charset val="128"/>
    </font>
    <font>
      <b/>
      <sz val="10"/>
      <name val="游ゴシック"/>
      <family val="3"/>
      <charset val="128"/>
    </font>
    <font>
      <sz val="8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0"/>
      <name val="ＭＳ Ｐ明朝"/>
      <family val="1"/>
      <charset val="128"/>
    </font>
    <font>
      <sz val="16"/>
      <name val="ＭＳ Ｐ明朝"/>
      <family val="1"/>
      <charset val="128"/>
    </font>
    <font>
      <b/>
      <sz val="8"/>
      <color theme="0"/>
      <name val="游ゴシック"/>
      <family val="3"/>
      <charset val="128"/>
      <scheme val="minor"/>
    </font>
    <font>
      <sz val="10"/>
      <color theme="0"/>
      <name val="游ゴシック"/>
      <family val="3"/>
      <charset val="128"/>
    </font>
    <font>
      <b/>
      <sz val="12"/>
      <name val="游ゴシック"/>
      <family val="3"/>
      <charset val="128"/>
    </font>
    <font>
      <sz val="8"/>
      <color theme="0"/>
      <name val="游ゴシック"/>
      <family val="3"/>
      <charset val="128"/>
      <scheme val="minor"/>
    </font>
    <font>
      <sz val="10"/>
      <name val="游ゴシック"/>
      <family val="3"/>
      <charset val="128"/>
    </font>
    <font>
      <sz val="12"/>
      <color theme="1"/>
      <name val="游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C0000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theme="1"/>
      </left>
      <right style="double">
        <color theme="1"/>
      </right>
      <top style="medium">
        <color theme="1"/>
      </top>
      <bottom/>
      <diagonal/>
    </border>
    <border>
      <left style="double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 style="double">
        <color theme="1"/>
      </right>
      <top/>
      <bottom style="medium">
        <color theme="1"/>
      </bottom>
      <diagonal/>
    </border>
    <border>
      <left style="double">
        <color theme="1"/>
      </left>
      <right style="medium">
        <color theme="1"/>
      </right>
      <top/>
      <bottom style="medium">
        <color theme="1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shrinkToFit="1"/>
    </xf>
    <xf numFmtId="0" fontId="2" fillId="0" borderId="0" xfId="0" applyFont="1" applyFill="1" applyBorder="1">
      <alignment vertical="center"/>
    </xf>
    <xf numFmtId="0" fontId="2" fillId="0" borderId="0" xfId="0" applyFont="1" applyFill="1" applyBorder="1" applyAlignment="1">
      <alignment horizontal="right" vertical="center"/>
    </xf>
    <xf numFmtId="9" fontId="2" fillId="0" borderId="0" xfId="0" applyNumberFormat="1" applyFont="1" applyFill="1" applyBorder="1" applyAlignment="1">
      <alignment horizontal="center" vertical="center"/>
    </xf>
    <xf numFmtId="9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 applyProtection="1">
      <alignment vertical="center"/>
      <protection locked="0"/>
    </xf>
    <xf numFmtId="176" fontId="2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vertical="center"/>
    </xf>
    <xf numFmtId="176" fontId="8" fillId="0" borderId="0" xfId="0" applyNumberFormat="1" applyFont="1" applyFill="1" applyBorder="1" applyAlignment="1">
      <alignment vertical="center"/>
    </xf>
    <xf numFmtId="0" fontId="10" fillId="0" borderId="0" xfId="0" applyFont="1" applyFill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1" fillId="0" borderId="0" xfId="0" applyFont="1" applyFill="1" applyAlignment="1">
      <alignment vertical="center" justifyLastLine="1"/>
    </xf>
    <xf numFmtId="0" fontId="7" fillId="0" borderId="0" xfId="0" applyFont="1" applyFill="1" applyBorder="1" applyAlignment="1" applyProtection="1">
      <alignment vertical="center"/>
      <protection locked="0"/>
    </xf>
    <xf numFmtId="178" fontId="2" fillId="0" borderId="0" xfId="0" applyNumberFormat="1" applyFont="1" applyAlignment="1">
      <alignment vertical="center"/>
    </xf>
    <xf numFmtId="0" fontId="2" fillId="3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vertical="center" wrapText="1"/>
    </xf>
    <xf numFmtId="31" fontId="6" fillId="6" borderId="9" xfId="0" applyNumberFormat="1" applyFont="1" applyFill="1" applyBorder="1" applyAlignment="1">
      <alignment vertical="center" wrapText="1"/>
    </xf>
    <xf numFmtId="31" fontId="6" fillId="6" borderId="19" xfId="0" applyNumberFormat="1" applyFont="1" applyFill="1" applyBorder="1" applyAlignment="1">
      <alignment vertical="center" wrapText="1"/>
    </xf>
    <xf numFmtId="0" fontId="6" fillId="6" borderId="10" xfId="0" applyFont="1" applyFill="1" applyBorder="1" applyAlignment="1">
      <alignment vertical="center" wrapText="1"/>
    </xf>
    <xf numFmtId="178" fontId="6" fillId="6" borderId="10" xfId="0" applyNumberFormat="1" applyFont="1" applyFill="1" applyBorder="1" applyAlignment="1">
      <alignment vertical="center" wrapText="1"/>
    </xf>
    <xf numFmtId="177" fontId="6" fillId="6" borderId="10" xfId="0" applyNumberFormat="1" applyFont="1" applyFill="1" applyBorder="1" applyAlignment="1">
      <alignment vertical="center" wrapText="1"/>
    </xf>
    <xf numFmtId="177" fontId="6" fillId="6" borderId="11" xfId="0" applyNumberFormat="1" applyFont="1" applyFill="1" applyBorder="1" applyAlignment="1">
      <alignment vertical="center" wrapText="1"/>
    </xf>
    <xf numFmtId="0" fontId="6" fillId="6" borderId="4" xfId="0" applyFont="1" applyFill="1" applyBorder="1" applyAlignment="1">
      <alignment vertical="center" wrapText="1"/>
    </xf>
    <xf numFmtId="31" fontId="6" fillId="6" borderId="4" xfId="0" applyNumberFormat="1" applyFont="1" applyFill="1" applyBorder="1" applyAlignment="1">
      <alignment vertical="center" wrapText="1"/>
    </xf>
    <xf numFmtId="0" fontId="6" fillId="6" borderId="1" xfId="0" applyFont="1" applyFill="1" applyBorder="1" applyAlignment="1">
      <alignment vertical="center" wrapText="1"/>
    </xf>
    <xf numFmtId="0" fontId="6" fillId="3" borderId="14" xfId="0" applyFont="1" applyFill="1" applyBorder="1" applyAlignment="1">
      <alignment vertical="center" wrapText="1"/>
    </xf>
    <xf numFmtId="56" fontId="6" fillId="3" borderId="14" xfId="0" applyNumberFormat="1" applyFont="1" applyFill="1" applyBorder="1" applyAlignment="1">
      <alignment vertical="center" wrapText="1"/>
    </xf>
    <xf numFmtId="56" fontId="6" fillId="3" borderId="16" xfId="0" applyNumberFormat="1" applyFont="1" applyFill="1" applyBorder="1" applyAlignment="1">
      <alignment vertical="center" wrapText="1"/>
    </xf>
    <xf numFmtId="0" fontId="6" fillId="3" borderId="9" xfId="0" applyFont="1" applyFill="1" applyBorder="1" applyAlignment="1">
      <alignment vertical="center" wrapText="1"/>
    </xf>
    <xf numFmtId="0" fontId="6" fillId="4" borderId="14" xfId="0" applyFont="1" applyFill="1" applyBorder="1" applyAlignment="1">
      <alignment vertical="center" wrapText="1"/>
    </xf>
    <xf numFmtId="56" fontId="6" fillId="4" borderId="14" xfId="0" applyNumberFormat="1" applyFont="1" applyFill="1" applyBorder="1" applyAlignment="1">
      <alignment vertical="center" wrapText="1"/>
    </xf>
    <xf numFmtId="56" fontId="6" fillId="4" borderId="16" xfId="0" applyNumberFormat="1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9" fillId="7" borderId="0" xfId="0" applyFont="1" applyFill="1" applyAlignment="1">
      <alignment horizontal="center" vertical="center" wrapText="1"/>
    </xf>
    <xf numFmtId="0" fontId="6" fillId="6" borderId="9" xfId="0" applyFont="1" applyFill="1" applyBorder="1" applyAlignment="1">
      <alignment vertical="center" wrapText="1"/>
    </xf>
    <xf numFmtId="31" fontId="6" fillId="6" borderId="9" xfId="0" applyNumberFormat="1" applyFont="1" applyFill="1" applyBorder="1" applyAlignment="1">
      <alignment horizontal="right" vertical="center" wrapText="1"/>
    </xf>
    <xf numFmtId="0" fontId="2" fillId="0" borderId="14" xfId="0" applyFont="1" applyFill="1" applyBorder="1" applyAlignment="1">
      <alignment horizontal="right" vertical="center"/>
    </xf>
    <xf numFmtId="0" fontId="2" fillId="0" borderId="10" xfId="0" applyFont="1" applyFill="1" applyBorder="1" applyAlignment="1">
      <alignment horizontal="right" vertical="center"/>
    </xf>
    <xf numFmtId="0" fontId="2" fillId="0" borderId="28" xfId="0" applyFont="1" applyFill="1" applyBorder="1" applyAlignment="1">
      <alignment horizontal="right" vertical="center"/>
    </xf>
    <xf numFmtId="179" fontId="6" fillId="3" borderId="9" xfId="0" applyNumberFormat="1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179" fontId="6" fillId="3" borderId="19" xfId="0" applyNumberFormat="1" applyFont="1" applyFill="1" applyBorder="1" applyAlignment="1">
      <alignment vertical="center" wrapText="1"/>
    </xf>
    <xf numFmtId="179" fontId="6" fillId="4" borderId="9" xfId="0" applyNumberFormat="1" applyFont="1" applyFill="1" applyBorder="1" applyAlignment="1">
      <alignment vertical="center" wrapText="1"/>
    </xf>
    <xf numFmtId="179" fontId="6" fillId="4" borderId="19" xfId="0" applyNumberFormat="1" applyFont="1" applyFill="1" applyBorder="1" applyAlignment="1">
      <alignment vertical="center" wrapText="1"/>
    </xf>
    <xf numFmtId="179" fontId="6" fillId="4" borderId="15" xfId="0" applyNumberFormat="1" applyFont="1" applyFill="1" applyBorder="1" applyAlignment="1">
      <alignment vertical="center" wrapText="1"/>
    </xf>
    <xf numFmtId="179" fontId="6" fillId="4" borderId="18" xfId="0" applyNumberFormat="1" applyFont="1" applyFill="1" applyBorder="1" applyAlignment="1">
      <alignment vertical="center" wrapText="1"/>
    </xf>
    <xf numFmtId="10" fontId="2" fillId="5" borderId="36" xfId="0" applyNumberFormat="1" applyFont="1" applyFill="1" applyBorder="1" applyAlignment="1" applyProtection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180" fontId="2" fillId="0" borderId="0" xfId="0" applyNumberFormat="1" applyFont="1" applyFill="1" applyBorder="1" applyAlignment="1" applyProtection="1">
      <alignment horizontal="right" vertical="center"/>
    </xf>
    <xf numFmtId="181" fontId="2" fillId="0" borderId="0" xfId="0" applyNumberFormat="1" applyFont="1" applyFill="1" applyBorder="1" applyAlignment="1" applyProtection="1">
      <alignment horizontal="right" vertical="center"/>
    </xf>
    <xf numFmtId="10" fontId="2" fillId="0" borderId="0" xfId="0" applyNumberFormat="1" applyFont="1" applyFill="1" applyBorder="1" applyAlignment="1" applyProtection="1">
      <alignment horizontal="right" vertical="center"/>
    </xf>
    <xf numFmtId="10" fontId="2" fillId="0" borderId="0" xfId="0" applyNumberFormat="1" applyFont="1" applyFill="1" applyBorder="1" applyAlignment="1" applyProtection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180" fontId="2" fillId="0" borderId="28" xfId="0" applyNumberFormat="1" applyFont="1" applyFill="1" applyBorder="1" applyAlignment="1" applyProtection="1">
      <alignment horizontal="right" vertical="center"/>
    </xf>
    <xf numFmtId="181" fontId="2" fillId="0" borderId="28" xfId="0" applyNumberFormat="1" applyFont="1" applyFill="1" applyBorder="1" applyAlignment="1" applyProtection="1">
      <alignment horizontal="right" vertical="center"/>
    </xf>
    <xf numFmtId="10" fontId="2" fillId="0" borderId="28" xfId="0" applyNumberFormat="1" applyFont="1" applyFill="1" applyBorder="1" applyAlignment="1" applyProtection="1">
      <alignment horizontal="right" vertical="center"/>
    </xf>
    <xf numFmtId="0" fontId="2" fillId="0" borderId="10" xfId="0" applyFont="1" applyFill="1" applyBorder="1" applyAlignment="1">
      <alignment horizontal="center" vertical="center"/>
    </xf>
    <xf numFmtId="179" fontId="2" fillId="0" borderId="10" xfId="0" applyNumberFormat="1" applyFont="1" applyFill="1" applyBorder="1" applyAlignment="1" applyProtection="1">
      <alignment horizontal="right" vertical="center"/>
    </xf>
    <xf numFmtId="181" fontId="2" fillId="0" borderId="10" xfId="0" applyNumberFormat="1" applyFont="1" applyFill="1" applyBorder="1" applyAlignment="1" applyProtection="1">
      <alignment horizontal="right" vertical="center"/>
    </xf>
    <xf numFmtId="10" fontId="2" fillId="0" borderId="10" xfId="0" applyNumberFormat="1" applyFont="1" applyFill="1" applyBorder="1" applyAlignment="1" applyProtection="1">
      <alignment horizontal="right" vertical="center"/>
    </xf>
    <xf numFmtId="0" fontId="2" fillId="5" borderId="24" xfId="0" applyFont="1" applyFill="1" applyBorder="1" applyAlignment="1">
      <alignment horizontal="center" vertical="center"/>
    </xf>
    <xf numFmtId="0" fontId="2" fillId="5" borderId="25" xfId="0" applyFont="1" applyFill="1" applyBorder="1" applyAlignment="1">
      <alignment horizontal="center" vertical="center"/>
    </xf>
    <xf numFmtId="181" fontId="14" fillId="5" borderId="25" xfId="0" applyNumberFormat="1" applyFont="1" applyFill="1" applyBorder="1" applyAlignment="1">
      <alignment horizontal="right" vertical="center"/>
    </xf>
    <xf numFmtId="181" fontId="14" fillId="5" borderId="26" xfId="0" applyNumberFormat="1" applyFont="1" applyFill="1" applyBorder="1" applyAlignment="1">
      <alignment horizontal="right" vertical="center"/>
    </xf>
    <xf numFmtId="0" fontId="2" fillId="5" borderId="20" xfId="0" applyFont="1" applyFill="1" applyBorder="1" applyAlignment="1">
      <alignment horizontal="center" vertical="center"/>
    </xf>
    <xf numFmtId="0" fontId="2" fillId="5" borderId="21" xfId="0" applyFont="1" applyFill="1" applyBorder="1" applyAlignment="1">
      <alignment horizontal="center" vertical="center"/>
    </xf>
    <xf numFmtId="0" fontId="2" fillId="5" borderId="27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center" vertical="center"/>
    </xf>
    <xf numFmtId="10" fontId="2" fillId="5" borderId="21" xfId="0" applyNumberFormat="1" applyFont="1" applyFill="1" applyBorder="1" applyAlignment="1" applyProtection="1">
      <alignment horizontal="center" vertical="center"/>
    </xf>
    <xf numFmtId="10" fontId="2" fillId="5" borderId="22" xfId="0" applyNumberFormat="1" applyFont="1" applyFill="1" applyBorder="1" applyAlignment="1" applyProtection="1">
      <alignment horizontal="center" vertical="center"/>
    </xf>
    <xf numFmtId="180" fontId="2" fillId="5" borderId="25" xfId="0" applyNumberFormat="1" applyFont="1" applyFill="1" applyBorder="1" applyAlignment="1" applyProtection="1">
      <alignment horizontal="right" vertical="center"/>
    </xf>
    <xf numFmtId="181" fontId="2" fillId="5" borderId="25" xfId="0" applyNumberFormat="1" applyFont="1" applyFill="1" applyBorder="1" applyAlignment="1" applyProtection="1">
      <alignment horizontal="right" vertical="center"/>
    </xf>
    <xf numFmtId="181" fontId="14" fillId="0" borderId="14" xfId="0" applyNumberFormat="1" applyFont="1" applyFill="1" applyBorder="1" applyAlignment="1">
      <alignment horizontal="right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181" fontId="14" fillId="0" borderId="23" xfId="0" applyNumberFormat="1" applyFont="1" applyFill="1" applyBorder="1" applyAlignment="1">
      <alignment horizontal="right" vertical="center"/>
    </xf>
    <xf numFmtId="179" fontId="2" fillId="0" borderId="14" xfId="0" applyNumberFormat="1" applyFont="1" applyFill="1" applyBorder="1" applyAlignment="1" applyProtection="1">
      <alignment horizontal="right" vertical="center"/>
    </xf>
    <xf numFmtId="181" fontId="2" fillId="0" borderId="14" xfId="0" applyNumberFormat="1" applyFont="1" applyFill="1" applyBorder="1" applyAlignment="1" applyProtection="1">
      <alignment horizontal="right" vertical="center"/>
    </xf>
    <xf numFmtId="10" fontId="2" fillId="0" borderId="14" xfId="0" applyNumberFormat="1" applyFont="1" applyFill="1" applyBorder="1" applyAlignment="1" applyProtection="1">
      <alignment horizontal="right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179" fontId="2" fillId="0" borderId="28" xfId="0" applyNumberFormat="1" applyFont="1" applyFill="1" applyBorder="1" applyAlignment="1" applyProtection="1">
      <alignment horizontal="right" vertical="center"/>
    </xf>
    <xf numFmtId="10" fontId="2" fillId="0" borderId="33" xfId="0" applyNumberFormat="1" applyFont="1" applyFill="1" applyBorder="1" applyAlignment="1" applyProtection="1">
      <alignment horizontal="right" vertical="center"/>
    </xf>
    <xf numFmtId="10" fontId="2" fillId="0" borderId="34" xfId="0" applyNumberFormat="1" applyFont="1" applyFill="1" applyBorder="1" applyAlignment="1" applyProtection="1">
      <alignment horizontal="right" vertical="center"/>
    </xf>
    <xf numFmtId="10" fontId="2" fillId="0" borderId="35" xfId="0" applyNumberFormat="1" applyFont="1" applyFill="1" applyBorder="1" applyAlignment="1" applyProtection="1">
      <alignment horizontal="right" vertical="center"/>
    </xf>
    <xf numFmtId="179" fontId="2" fillId="5" borderId="25" xfId="0" applyNumberFormat="1" applyFont="1" applyFill="1" applyBorder="1" applyAlignment="1" applyProtection="1">
      <alignment horizontal="right" vertical="center"/>
    </xf>
    <xf numFmtId="0" fontId="2" fillId="5" borderId="25" xfId="0" applyFont="1" applyFill="1" applyBorder="1" applyAlignment="1" applyProtection="1">
      <alignment horizontal="right" vertical="center"/>
    </xf>
    <xf numFmtId="0" fontId="2" fillId="4" borderId="3" xfId="0" applyFont="1" applyFill="1" applyBorder="1" applyAlignment="1" applyProtection="1">
      <alignment horizontal="center" vertical="center"/>
      <protection locked="0"/>
    </xf>
    <xf numFmtId="10" fontId="2" fillId="0" borderId="11" xfId="0" applyNumberFormat="1" applyFont="1" applyFill="1" applyBorder="1" applyAlignment="1" applyProtection="1">
      <alignment horizontal="right" vertical="center"/>
    </xf>
    <xf numFmtId="10" fontId="2" fillId="0" borderId="12" xfId="0" applyNumberFormat="1" applyFont="1" applyFill="1" applyBorder="1" applyAlignment="1" applyProtection="1">
      <alignment horizontal="right" vertical="center"/>
    </xf>
    <xf numFmtId="10" fontId="2" fillId="0" borderId="13" xfId="0" applyNumberFormat="1" applyFont="1" applyFill="1" applyBorder="1" applyAlignment="1" applyProtection="1">
      <alignment horizontal="right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31" fontId="13" fillId="0" borderId="0" xfId="0" applyNumberFormat="1" applyFont="1" applyFill="1" applyAlignment="1">
      <alignment horizontal="right" vertical="center"/>
    </xf>
    <xf numFmtId="178" fontId="2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2" fillId="0" borderId="0" xfId="0" applyFont="1" applyFill="1" applyBorder="1" applyAlignment="1" applyProtection="1">
      <alignment horizontal="right" vertical="center"/>
      <protection locked="0"/>
    </xf>
    <xf numFmtId="0" fontId="10" fillId="2" borderId="6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3" borderId="3" xfId="0" applyFont="1" applyFill="1" applyBorder="1" applyAlignment="1" applyProtection="1">
      <alignment horizontal="center" vertical="center"/>
      <protection locked="0"/>
    </xf>
    <xf numFmtId="0" fontId="6" fillId="4" borderId="3" xfId="0" applyFont="1" applyFill="1" applyBorder="1" applyAlignment="1">
      <alignment horizontal="center" vertical="center" textRotation="255" wrapText="1"/>
    </xf>
    <xf numFmtId="0" fontId="6" fillId="3" borderId="3" xfId="0" applyFont="1" applyFill="1" applyBorder="1" applyAlignment="1">
      <alignment horizontal="center" vertical="center" textRotation="255" wrapText="1"/>
    </xf>
    <xf numFmtId="0" fontId="6" fillId="0" borderId="29" xfId="0" applyFont="1" applyBorder="1" applyAlignment="1">
      <alignment horizontal="left" vertical="center" wrapText="1"/>
    </xf>
    <xf numFmtId="0" fontId="6" fillId="0" borderId="31" xfId="0" applyFont="1" applyBorder="1" applyAlignment="1">
      <alignment horizontal="left" vertical="center" wrapText="1"/>
    </xf>
    <xf numFmtId="0" fontId="6" fillId="0" borderId="30" xfId="0" applyFont="1" applyBorder="1" applyAlignment="1">
      <alignment horizontal="left" vertical="center" wrapText="1"/>
    </xf>
    <xf numFmtId="0" fontId="6" fillId="0" borderId="32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12" fillId="8" borderId="2" xfId="0" applyFont="1" applyFill="1" applyBorder="1" applyAlignment="1">
      <alignment horizontal="center" vertical="center" wrapText="1"/>
    </xf>
    <xf numFmtId="0" fontId="6" fillId="6" borderId="17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99CC"/>
      <color rgb="FFFFC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36</xdr:row>
      <xdr:rowOff>0</xdr:rowOff>
    </xdr:from>
    <xdr:to>
      <xdr:col>14</xdr:col>
      <xdr:colOff>0</xdr:colOff>
      <xdr:row>36</xdr:row>
      <xdr:rowOff>0</xdr:rowOff>
    </xdr:to>
    <xdr:sp macro="" textlink="">
      <xdr:nvSpPr>
        <xdr:cNvPr id="3" name="Rectangle 1">
          <a:extLst>
            <a:ext uri="{FF2B5EF4-FFF2-40B4-BE49-F238E27FC236}">
              <a16:creationId xmlns:a16="http://schemas.microsoft.com/office/drawing/2014/main" id="{15151033-48E5-4A34-A256-8FE1F4C5D0A6}"/>
            </a:ext>
          </a:extLst>
        </xdr:cNvPr>
        <xdr:cNvSpPr>
          <a:spLocks noChangeArrowheads="1"/>
        </xdr:cNvSpPr>
      </xdr:nvSpPr>
      <xdr:spPr bwMode="auto">
        <a:xfrm>
          <a:off x="4333875" y="6581775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14</xdr:col>
      <xdr:colOff>0</xdr:colOff>
      <xdr:row>36</xdr:row>
      <xdr:rowOff>0</xdr:rowOff>
    </xdr:from>
    <xdr:to>
      <xdr:col>14</xdr:col>
      <xdr:colOff>0</xdr:colOff>
      <xdr:row>36</xdr:row>
      <xdr:rowOff>0</xdr:rowOff>
    </xdr:to>
    <xdr:sp macro="" textlink="">
      <xdr:nvSpPr>
        <xdr:cNvPr id="4" name="Rectangle 2">
          <a:extLst>
            <a:ext uri="{FF2B5EF4-FFF2-40B4-BE49-F238E27FC236}">
              <a16:creationId xmlns:a16="http://schemas.microsoft.com/office/drawing/2014/main" id="{93DDC041-7D2E-4200-9033-D5CB2704CE89}"/>
            </a:ext>
          </a:extLst>
        </xdr:cNvPr>
        <xdr:cNvSpPr>
          <a:spLocks noChangeArrowheads="1"/>
        </xdr:cNvSpPr>
      </xdr:nvSpPr>
      <xdr:spPr bwMode="auto">
        <a:xfrm>
          <a:off x="4333875" y="6581775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14</xdr:col>
      <xdr:colOff>0</xdr:colOff>
      <xdr:row>36</xdr:row>
      <xdr:rowOff>0</xdr:rowOff>
    </xdr:from>
    <xdr:to>
      <xdr:col>14</xdr:col>
      <xdr:colOff>0</xdr:colOff>
      <xdr:row>36</xdr:row>
      <xdr:rowOff>0</xdr:rowOff>
    </xdr:to>
    <xdr:sp macro="" textlink="">
      <xdr:nvSpPr>
        <xdr:cNvPr id="5" name="Rectangle 3">
          <a:extLst>
            <a:ext uri="{FF2B5EF4-FFF2-40B4-BE49-F238E27FC236}">
              <a16:creationId xmlns:a16="http://schemas.microsoft.com/office/drawing/2014/main" id="{D26A423F-370F-44C9-86DC-C0647DBD2F35}"/>
            </a:ext>
          </a:extLst>
        </xdr:cNvPr>
        <xdr:cNvSpPr>
          <a:spLocks noChangeArrowheads="1"/>
        </xdr:cNvSpPr>
      </xdr:nvSpPr>
      <xdr:spPr bwMode="auto">
        <a:xfrm>
          <a:off x="4333875" y="6581775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14</xdr:col>
      <xdr:colOff>0</xdr:colOff>
      <xdr:row>36</xdr:row>
      <xdr:rowOff>0</xdr:rowOff>
    </xdr:from>
    <xdr:to>
      <xdr:col>14</xdr:col>
      <xdr:colOff>0</xdr:colOff>
      <xdr:row>36</xdr:row>
      <xdr:rowOff>0</xdr:rowOff>
    </xdr:to>
    <xdr:sp macro="" textlink="">
      <xdr:nvSpPr>
        <xdr:cNvPr id="6" name="Rectangle 4">
          <a:extLst>
            <a:ext uri="{FF2B5EF4-FFF2-40B4-BE49-F238E27FC236}">
              <a16:creationId xmlns:a16="http://schemas.microsoft.com/office/drawing/2014/main" id="{ABE175F7-43C9-49A2-8CAB-391497617E15}"/>
            </a:ext>
          </a:extLst>
        </xdr:cNvPr>
        <xdr:cNvSpPr>
          <a:spLocks noChangeArrowheads="1"/>
        </xdr:cNvSpPr>
      </xdr:nvSpPr>
      <xdr:spPr bwMode="auto">
        <a:xfrm>
          <a:off x="4333875" y="6581775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14</xdr:col>
      <xdr:colOff>0</xdr:colOff>
      <xdr:row>36</xdr:row>
      <xdr:rowOff>0</xdr:rowOff>
    </xdr:from>
    <xdr:to>
      <xdr:col>14</xdr:col>
      <xdr:colOff>0</xdr:colOff>
      <xdr:row>36</xdr:row>
      <xdr:rowOff>0</xdr:rowOff>
    </xdr:to>
    <xdr:sp macro="" textlink="">
      <xdr:nvSpPr>
        <xdr:cNvPr id="7" name="テキスト 56">
          <a:extLst>
            <a:ext uri="{FF2B5EF4-FFF2-40B4-BE49-F238E27FC236}">
              <a16:creationId xmlns:a16="http://schemas.microsoft.com/office/drawing/2014/main" id="{7CBE269B-1EEA-49BD-A2A6-B7968DD4AC9A}"/>
            </a:ext>
          </a:extLst>
        </xdr:cNvPr>
        <xdr:cNvSpPr txBox="1">
          <a:spLocks noChangeArrowheads="1"/>
        </xdr:cNvSpPr>
      </xdr:nvSpPr>
      <xdr:spPr bwMode="auto">
        <a:xfrm>
          <a:off x="4333875" y="6581775"/>
          <a:ext cx="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担当</a:t>
          </a:r>
        </a:p>
      </xdr:txBody>
    </xdr:sp>
    <xdr:clientData/>
  </xdr:twoCellAnchor>
  <xdr:twoCellAnchor>
    <xdr:from>
      <xdr:col>14</xdr:col>
      <xdr:colOff>0</xdr:colOff>
      <xdr:row>36</xdr:row>
      <xdr:rowOff>0</xdr:rowOff>
    </xdr:from>
    <xdr:to>
      <xdr:col>14</xdr:col>
      <xdr:colOff>0</xdr:colOff>
      <xdr:row>36</xdr:row>
      <xdr:rowOff>0</xdr:rowOff>
    </xdr:to>
    <xdr:sp macro="" textlink="">
      <xdr:nvSpPr>
        <xdr:cNvPr id="8" name="テキスト 57">
          <a:extLst>
            <a:ext uri="{FF2B5EF4-FFF2-40B4-BE49-F238E27FC236}">
              <a16:creationId xmlns:a16="http://schemas.microsoft.com/office/drawing/2014/main" id="{385F6E5A-22E1-40C7-B715-66C5A20C4849}"/>
            </a:ext>
          </a:extLst>
        </xdr:cNvPr>
        <xdr:cNvSpPr txBox="1">
          <a:spLocks noChangeArrowheads="1"/>
        </xdr:cNvSpPr>
      </xdr:nvSpPr>
      <xdr:spPr bwMode="auto">
        <a:xfrm>
          <a:off x="4333875" y="6581775"/>
          <a:ext cx="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処理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BF32D-7FC0-40CB-B9CC-8EC7D9CA3613}">
  <sheetPr codeName="Sheet1"/>
  <dimension ref="A1:AI62"/>
  <sheetViews>
    <sheetView showZeros="0" tabSelected="1" workbookViewId="0">
      <selection activeCell="AA26" sqref="AA26"/>
    </sheetView>
  </sheetViews>
  <sheetFormatPr defaultColWidth="4.375" defaultRowHeight="15.75" customHeight="1" x14ac:dyDescent="0.4"/>
  <cols>
    <col min="1" max="16384" width="4.375" style="1"/>
  </cols>
  <sheetData>
    <row r="1" spans="1:35" ht="15.75" customHeight="1" x14ac:dyDescent="0.4">
      <c r="A1" s="14"/>
      <c r="B1" s="14"/>
      <c r="C1" s="14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12">
        <f>HLOOKUP($U$3,入力シート!$B$5:$ZZ$93,2,FALSE)</f>
        <v>43739</v>
      </c>
      <c r="Q1" s="112"/>
      <c r="R1" s="112"/>
      <c r="S1" s="112"/>
    </row>
    <row r="2" spans="1:35" ht="15.75" customHeight="1" x14ac:dyDescent="0.4">
      <c r="A2" s="2"/>
      <c r="B2" s="2"/>
      <c r="C2" s="2"/>
      <c r="D2" s="77" t="str">
        <f>HLOOKUP($U$3,入力シート!$B$5:$ZZ$93,3,FALSE)</f>
        <v>2019年度</v>
      </c>
      <c r="E2" s="77"/>
      <c r="F2" s="77"/>
      <c r="G2" s="77"/>
      <c r="H2" s="77"/>
      <c r="I2" s="77"/>
      <c r="J2" s="76" t="s">
        <v>54</v>
      </c>
      <c r="K2" s="76"/>
      <c r="L2" s="76"/>
      <c r="M2" s="76"/>
      <c r="N2" s="76"/>
      <c r="O2" s="76"/>
      <c r="P2" s="76"/>
      <c r="Q2" s="3"/>
      <c r="R2" s="3"/>
      <c r="S2" s="3"/>
      <c r="U2" s="120" t="s">
        <v>14</v>
      </c>
      <c r="V2" s="120"/>
      <c r="W2" s="120"/>
    </row>
    <row r="3" spans="1:35" ht="15.75" customHeight="1" x14ac:dyDescent="0.4">
      <c r="D3" s="77"/>
      <c r="E3" s="77"/>
      <c r="F3" s="77"/>
      <c r="G3" s="77"/>
      <c r="H3" s="77"/>
      <c r="I3" s="77"/>
      <c r="J3" s="76"/>
      <c r="K3" s="76"/>
      <c r="L3" s="76"/>
      <c r="M3" s="76"/>
      <c r="N3" s="76"/>
      <c r="O3" s="76"/>
      <c r="P3" s="76"/>
      <c r="Q3" s="21"/>
      <c r="R3" s="21"/>
      <c r="S3" s="21"/>
      <c r="U3" s="117">
        <v>201910</v>
      </c>
      <c r="V3" s="118"/>
      <c r="W3" s="119"/>
    </row>
    <row r="4" spans="1:35" ht="15.75" customHeight="1" x14ac:dyDescent="0.4">
      <c r="A4" s="5"/>
      <c r="B4" s="5"/>
      <c r="C4" s="5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3"/>
      <c r="R4" s="3"/>
      <c r="S4" s="3"/>
    </row>
    <row r="5" spans="1:35" ht="15.75" customHeight="1" x14ac:dyDescent="0.4">
      <c r="A5" s="114" t="str">
        <f>入力シート!D1</f>
        <v>○○○○マンション管理組合　管理費会計</v>
      </c>
      <c r="B5" s="114"/>
      <c r="C5" s="114"/>
      <c r="D5" s="114"/>
      <c r="E5" s="114"/>
      <c r="F5" s="114"/>
      <c r="G5" s="114"/>
      <c r="H5" s="114"/>
      <c r="I5" s="114"/>
      <c r="J5" s="114"/>
      <c r="K5" s="3"/>
      <c r="L5" s="3"/>
      <c r="M5" s="3"/>
      <c r="N5" s="9"/>
      <c r="O5" s="9"/>
      <c r="P5" s="9"/>
      <c r="Q5" s="9"/>
      <c r="R5" s="9"/>
      <c r="S5" s="9"/>
    </row>
    <row r="6" spans="1:35" ht="15.75" customHeight="1" x14ac:dyDescent="0.4">
      <c r="A6" s="6" t="s">
        <v>15</v>
      </c>
      <c r="B6" s="113">
        <f>HLOOKUP($U$3,入力シート!$B$5:$ZZ$93,4,FALSE)</f>
        <v>43374</v>
      </c>
      <c r="C6" s="113"/>
      <c r="D6" s="113"/>
      <c r="E6" s="113"/>
      <c r="F6" s="6" t="s">
        <v>16</v>
      </c>
      <c r="G6" s="113">
        <f>HLOOKUP($U$3,入力シート!$B$5:$ZZ$93,5,FALSE)</f>
        <v>43738</v>
      </c>
      <c r="H6" s="113"/>
      <c r="I6" s="113"/>
      <c r="J6" s="113"/>
      <c r="K6" s="3"/>
      <c r="L6" s="3"/>
      <c r="M6" s="3"/>
      <c r="N6" s="9"/>
      <c r="O6" s="9"/>
      <c r="P6" s="9"/>
      <c r="Q6" s="9"/>
      <c r="R6" s="9"/>
      <c r="S6" s="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</row>
    <row r="7" spans="1:35" ht="15.75" customHeight="1" x14ac:dyDescent="0.4">
      <c r="A7" s="5"/>
      <c r="B7" s="5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9"/>
      <c r="O7" s="9"/>
      <c r="P7" s="9"/>
      <c r="Q7" s="9"/>
      <c r="R7" s="9"/>
      <c r="S7" s="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</row>
    <row r="8" spans="1:35" ht="15.75" customHeight="1" x14ac:dyDescent="0.4">
      <c r="A8" s="114" t="s">
        <v>11</v>
      </c>
      <c r="B8" s="114"/>
      <c r="C8" s="114"/>
      <c r="D8" s="3"/>
      <c r="E8" s="3"/>
      <c r="F8" s="3"/>
      <c r="G8" s="3"/>
      <c r="H8" s="3"/>
      <c r="I8" s="3"/>
      <c r="J8" s="3"/>
      <c r="K8" s="9"/>
      <c r="L8" s="9"/>
      <c r="M8" s="9"/>
      <c r="N8" s="9"/>
      <c r="O8" s="9"/>
      <c r="P8" s="9"/>
      <c r="Q8" s="116" t="s">
        <v>4</v>
      </c>
      <c r="R8" s="116"/>
      <c r="S8" s="116"/>
    </row>
    <row r="9" spans="1:35" ht="15.75" customHeight="1" x14ac:dyDescent="0.4">
      <c r="A9" s="22" t="s">
        <v>10</v>
      </c>
      <c r="B9" s="109" t="s">
        <v>5</v>
      </c>
      <c r="C9" s="110"/>
      <c r="D9" s="110"/>
      <c r="E9" s="110"/>
      <c r="F9" s="110"/>
      <c r="G9" s="111"/>
      <c r="H9" s="121" t="s">
        <v>8</v>
      </c>
      <c r="I9" s="121"/>
      <c r="J9" s="121"/>
      <c r="K9" s="121" t="s">
        <v>7</v>
      </c>
      <c r="L9" s="121"/>
      <c r="M9" s="121"/>
      <c r="N9" s="121" t="s">
        <v>9</v>
      </c>
      <c r="O9" s="121"/>
      <c r="P9" s="121"/>
      <c r="Q9" s="121" t="s">
        <v>6</v>
      </c>
      <c r="R9" s="121"/>
      <c r="S9" s="121"/>
    </row>
    <row r="10" spans="1:35" ht="15.75" customHeight="1" x14ac:dyDescent="0.4">
      <c r="A10" s="45" t="str">
        <f>IF(B10=COUNTBLANK(B10),"","1")</f>
        <v>1</v>
      </c>
      <c r="B10" s="83" t="str">
        <f>HLOOKUP($U$3,入力シート!$B$5:$ZZ$93,6,FALSE)</f>
        <v>管理費収入</v>
      </c>
      <c r="C10" s="83"/>
      <c r="D10" s="83"/>
      <c r="E10" s="83"/>
      <c r="F10" s="83"/>
      <c r="G10" s="83"/>
      <c r="H10" s="86">
        <f>HLOOKUP($U$3,入力シート!$B$5:$ZZ$93,7,FALSE)</f>
        <v>5000000</v>
      </c>
      <c r="I10" s="86"/>
      <c r="J10" s="86"/>
      <c r="K10" s="86">
        <f>HLOOKUP($U$3,入力シート!$B$5:$ZZ$93,8,FALSE)</f>
        <v>4800000</v>
      </c>
      <c r="L10" s="86"/>
      <c r="M10" s="86"/>
      <c r="N10" s="87">
        <f>K10-H10</f>
        <v>-200000</v>
      </c>
      <c r="O10" s="87"/>
      <c r="P10" s="87"/>
      <c r="Q10" s="88">
        <f>IF(K10=COUNTBLANK(K10),"",K10/H10)</f>
        <v>0.96</v>
      </c>
      <c r="R10" s="88"/>
      <c r="S10" s="88"/>
    </row>
    <row r="11" spans="1:35" ht="15.75" customHeight="1" x14ac:dyDescent="0.4">
      <c r="A11" s="46" t="str">
        <f>IF(B11=COUNTBLANK(B11),"","2")</f>
        <v>2</v>
      </c>
      <c r="B11" s="65" t="str">
        <f>HLOOKUP($U$3,入力シート!$B$5:$ZZ$93,9,FALSE)</f>
        <v>駐車場使用収入</v>
      </c>
      <c r="C11" s="65"/>
      <c r="D11" s="65"/>
      <c r="E11" s="65"/>
      <c r="F11" s="65"/>
      <c r="G11" s="65"/>
      <c r="H11" s="66">
        <f>HLOOKUP($U$3,入力シート!$B$5:$ZZ$93,10,FALSE)</f>
        <v>1000000</v>
      </c>
      <c r="I11" s="66"/>
      <c r="J11" s="66"/>
      <c r="K11" s="66">
        <f>HLOOKUP($U$3,入力シート!$B$5:$ZZ$93,11,FALSE)</f>
        <v>950000</v>
      </c>
      <c r="L11" s="66"/>
      <c r="M11" s="66"/>
      <c r="N11" s="67">
        <f t="shared" ref="N11:N18" si="0">K11-H11</f>
        <v>-50000</v>
      </c>
      <c r="O11" s="67"/>
      <c r="P11" s="67"/>
      <c r="Q11" s="106">
        <f t="shared" ref="Q11:Q18" si="1">IF(K11=COUNTBLANK(K11),"",K11/H11)</f>
        <v>0.95</v>
      </c>
      <c r="R11" s="107"/>
      <c r="S11" s="108"/>
    </row>
    <row r="12" spans="1:35" ht="15.75" customHeight="1" x14ac:dyDescent="0.4">
      <c r="A12" s="46" t="str">
        <f>IF(B12=COUNTBLANK(B12),"","3")</f>
        <v>3</v>
      </c>
      <c r="B12" s="89" t="str">
        <f>HLOOKUP($U$3,入力シート!$B$5:$ZZ$93,12,FALSE)</f>
        <v>バイク置き場使用収入</v>
      </c>
      <c r="C12" s="90"/>
      <c r="D12" s="90"/>
      <c r="E12" s="90"/>
      <c r="F12" s="90"/>
      <c r="G12" s="91"/>
      <c r="H12" s="66">
        <f>HLOOKUP($U$3,入力シート!$B$5:$ZZ$93,13,FALSE)</f>
        <v>500000</v>
      </c>
      <c r="I12" s="66"/>
      <c r="J12" s="66"/>
      <c r="K12" s="66">
        <f>HLOOKUP($U$3,入力シート!$B$5:$ZZ$93,14,FALSE)</f>
        <v>470000</v>
      </c>
      <c r="L12" s="66"/>
      <c r="M12" s="66"/>
      <c r="N12" s="67">
        <f t="shared" si="0"/>
        <v>-30000</v>
      </c>
      <c r="O12" s="67"/>
      <c r="P12" s="67"/>
      <c r="Q12" s="106">
        <f t="shared" si="1"/>
        <v>0.94</v>
      </c>
      <c r="R12" s="107"/>
      <c r="S12" s="108"/>
    </row>
    <row r="13" spans="1:35" ht="15.75" customHeight="1" x14ac:dyDescent="0.4">
      <c r="A13" s="46" t="str">
        <f>IF(B13=COUNTBLANK(B13),"","4")</f>
        <v>4</v>
      </c>
      <c r="B13" s="89" t="str">
        <f>HLOOKUP($U$3,入力シート!$B$5:$ZZ$93,15,FALSE)</f>
        <v>駐輪場使用収入</v>
      </c>
      <c r="C13" s="90"/>
      <c r="D13" s="90"/>
      <c r="E13" s="90"/>
      <c r="F13" s="90"/>
      <c r="G13" s="91"/>
      <c r="H13" s="66">
        <f>HLOOKUP($U$3,入力シート!$B$5:$ZZ$93,16,FALSE)</f>
        <v>100000</v>
      </c>
      <c r="I13" s="66"/>
      <c r="J13" s="66"/>
      <c r="K13" s="66">
        <f>HLOOKUP($U$3,入力シート!$B$5:$ZZ$93,17,FALSE)</f>
        <v>90000</v>
      </c>
      <c r="L13" s="66"/>
      <c r="M13" s="66"/>
      <c r="N13" s="67">
        <f t="shared" si="0"/>
        <v>-10000</v>
      </c>
      <c r="O13" s="67"/>
      <c r="P13" s="67"/>
      <c r="Q13" s="106">
        <f t="shared" si="1"/>
        <v>0.9</v>
      </c>
      <c r="R13" s="107"/>
      <c r="S13" s="108"/>
    </row>
    <row r="14" spans="1:35" ht="15.75" customHeight="1" x14ac:dyDescent="0.4">
      <c r="A14" s="46" t="str">
        <f>IF(B14=COUNTBLANK(B14),"","5")</f>
        <v>5</v>
      </c>
      <c r="B14" s="89" t="str">
        <f>HLOOKUP($U$3,入力シート!$B$5:$ZZ$93,18,FALSE)</f>
        <v>その他収入</v>
      </c>
      <c r="C14" s="90"/>
      <c r="D14" s="90"/>
      <c r="E14" s="90"/>
      <c r="F14" s="90"/>
      <c r="G14" s="91"/>
      <c r="H14" s="66">
        <f>HLOOKUP($U$3,入力シート!$B$5:$ZZ$93,19,FALSE)</f>
        <v>50000</v>
      </c>
      <c r="I14" s="66"/>
      <c r="J14" s="66"/>
      <c r="K14" s="66">
        <f>HLOOKUP($U$3,入力シート!$B$5:$ZZ$93,20,FALSE)</f>
        <v>40000</v>
      </c>
      <c r="L14" s="66"/>
      <c r="M14" s="66"/>
      <c r="N14" s="67">
        <f t="shared" si="0"/>
        <v>-10000</v>
      </c>
      <c r="O14" s="67"/>
      <c r="P14" s="67"/>
      <c r="Q14" s="106">
        <f t="shared" si="1"/>
        <v>0.8</v>
      </c>
      <c r="R14" s="107"/>
      <c r="S14" s="108"/>
    </row>
    <row r="15" spans="1:35" ht="15.75" customHeight="1" x14ac:dyDescent="0.4">
      <c r="A15" s="46" t="str">
        <f>IF(B15=COUNTBLANK(B15),"","6")</f>
        <v>6</v>
      </c>
      <c r="B15" s="89" t="str">
        <f>HLOOKUP($U$3,入力シート!$B$5:$ZZ$93,21,FALSE)</f>
        <v>その他収入</v>
      </c>
      <c r="C15" s="90"/>
      <c r="D15" s="90"/>
      <c r="E15" s="90"/>
      <c r="F15" s="90"/>
      <c r="G15" s="91"/>
      <c r="H15" s="66">
        <f>HLOOKUP($U$3,入力シート!$B$5:$ZZ$93,22,FALSE)</f>
        <v>50000</v>
      </c>
      <c r="I15" s="66"/>
      <c r="J15" s="66"/>
      <c r="K15" s="66">
        <f>HLOOKUP($U$3,入力シート!$B$5:$ZZ$93,23,FALSE)</f>
        <v>40000</v>
      </c>
      <c r="L15" s="66"/>
      <c r="M15" s="66"/>
      <c r="N15" s="67">
        <f t="shared" si="0"/>
        <v>-10000</v>
      </c>
      <c r="O15" s="67"/>
      <c r="P15" s="67"/>
      <c r="Q15" s="106">
        <f t="shared" si="1"/>
        <v>0.8</v>
      </c>
      <c r="R15" s="107"/>
      <c r="S15" s="108"/>
    </row>
    <row r="16" spans="1:35" ht="15.75" customHeight="1" x14ac:dyDescent="0.4">
      <c r="A16" s="46" t="str">
        <f>IF(B16=COUNTBLANK(B16),"","7")</f>
        <v>7</v>
      </c>
      <c r="B16" s="89" t="str">
        <f>HLOOKUP($U$3,入力シート!$B$5:$ZZ$93,24,FALSE)</f>
        <v>その他収入</v>
      </c>
      <c r="C16" s="90"/>
      <c r="D16" s="90"/>
      <c r="E16" s="90"/>
      <c r="F16" s="90"/>
      <c r="G16" s="91"/>
      <c r="H16" s="66">
        <f>HLOOKUP($U$3,入力シート!$B$5:$ZZ$93,25,FALSE)</f>
        <v>50000</v>
      </c>
      <c r="I16" s="66"/>
      <c r="J16" s="66"/>
      <c r="K16" s="66">
        <f>HLOOKUP($U$3,入力シート!$B$5:$ZZ$93,26,FALSE)</f>
        <v>40000</v>
      </c>
      <c r="L16" s="66"/>
      <c r="M16" s="66"/>
      <c r="N16" s="67">
        <f t="shared" si="0"/>
        <v>-10000</v>
      </c>
      <c r="O16" s="67"/>
      <c r="P16" s="67"/>
      <c r="Q16" s="106">
        <f t="shared" si="1"/>
        <v>0.8</v>
      </c>
      <c r="R16" s="107"/>
      <c r="S16" s="108"/>
    </row>
    <row r="17" spans="1:19" ht="15.75" customHeight="1" x14ac:dyDescent="0.4">
      <c r="A17" s="46" t="str">
        <f>IF(B17=COUNTBLANK(B17),"","8")</f>
        <v>8</v>
      </c>
      <c r="B17" s="89" t="str">
        <f>HLOOKUP($U$3,入力シート!$B$5:$ZZ$93,27,FALSE)</f>
        <v>その他収入</v>
      </c>
      <c r="C17" s="90"/>
      <c r="D17" s="90"/>
      <c r="E17" s="90"/>
      <c r="F17" s="90"/>
      <c r="G17" s="91"/>
      <c r="H17" s="66">
        <f>HLOOKUP($U$3,入力シート!$B$5:$ZZ$93,28,FALSE)</f>
        <v>50000</v>
      </c>
      <c r="I17" s="66"/>
      <c r="J17" s="66"/>
      <c r="K17" s="66">
        <f>HLOOKUP($U$3,入力シート!$B$5:$ZZ$93,29,FALSE)</f>
        <v>40000</v>
      </c>
      <c r="L17" s="66"/>
      <c r="M17" s="66"/>
      <c r="N17" s="67">
        <f t="shared" si="0"/>
        <v>-10000</v>
      </c>
      <c r="O17" s="67"/>
      <c r="P17" s="67"/>
      <c r="Q17" s="106">
        <f t="shared" si="1"/>
        <v>0.8</v>
      </c>
      <c r="R17" s="107"/>
      <c r="S17" s="108"/>
    </row>
    <row r="18" spans="1:19" ht="15.75" customHeight="1" thickBot="1" x14ac:dyDescent="0.45">
      <c r="A18" s="47" t="str">
        <f>IF(B18=COUNTBLANK(B18),"","9")</f>
        <v>9</v>
      </c>
      <c r="B18" s="92" t="str">
        <f>HLOOKUP($U$3,入力シート!$B$5:$ZZ$93,30,FALSE)</f>
        <v>その他収入</v>
      </c>
      <c r="C18" s="93"/>
      <c r="D18" s="93"/>
      <c r="E18" s="93"/>
      <c r="F18" s="93"/>
      <c r="G18" s="94"/>
      <c r="H18" s="99">
        <f>HLOOKUP($U$3,入力シート!$B$5:$ZZ$93,31,FALSE)</f>
        <v>50000</v>
      </c>
      <c r="I18" s="99"/>
      <c r="J18" s="99"/>
      <c r="K18" s="99">
        <f>HLOOKUP($U$3,入力シート!$B$5:$ZZ$93,32,FALSE)</f>
        <v>40000</v>
      </c>
      <c r="L18" s="99"/>
      <c r="M18" s="99"/>
      <c r="N18" s="63">
        <f t="shared" si="0"/>
        <v>-10000</v>
      </c>
      <c r="O18" s="63"/>
      <c r="P18" s="63"/>
      <c r="Q18" s="100">
        <f t="shared" si="1"/>
        <v>0.8</v>
      </c>
      <c r="R18" s="101"/>
      <c r="S18" s="102"/>
    </row>
    <row r="19" spans="1:19" ht="15.75" customHeight="1" thickBot="1" x14ac:dyDescent="0.45">
      <c r="A19" s="73" t="s">
        <v>13</v>
      </c>
      <c r="B19" s="74"/>
      <c r="C19" s="74"/>
      <c r="D19" s="74"/>
      <c r="E19" s="74"/>
      <c r="F19" s="74"/>
      <c r="G19" s="75"/>
      <c r="H19" s="103">
        <f>SUM(H10:J18)</f>
        <v>6850000</v>
      </c>
      <c r="I19" s="104"/>
      <c r="J19" s="104"/>
      <c r="K19" s="103">
        <f>SUM(K10:M18)</f>
        <v>6510000</v>
      </c>
      <c r="L19" s="104"/>
      <c r="M19" s="104"/>
      <c r="N19" s="81">
        <f>SUM(N10:P18)</f>
        <v>-340000</v>
      </c>
      <c r="O19" s="81"/>
      <c r="P19" s="81"/>
      <c r="Q19" s="55" t="s">
        <v>67</v>
      </c>
      <c r="R19" s="78">
        <f>AVERAGE(Q10:S18)</f>
        <v>0.86111111111111105</v>
      </c>
      <c r="S19" s="79"/>
    </row>
    <row r="20" spans="1:19" ht="15.75" customHeight="1" x14ac:dyDescent="0.4">
      <c r="A20" s="3"/>
      <c r="B20" s="3"/>
      <c r="C20" s="3"/>
      <c r="D20" s="3"/>
      <c r="E20" s="3"/>
      <c r="F20" s="3"/>
      <c r="G20" s="3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</row>
    <row r="21" spans="1:19" ht="15.75" customHeight="1" x14ac:dyDescent="0.4">
      <c r="A21" s="98" t="s">
        <v>12</v>
      </c>
      <c r="B21" s="98"/>
      <c r="C21" s="98"/>
      <c r="D21" s="3"/>
      <c r="E21" s="3"/>
      <c r="F21" s="3"/>
      <c r="G21" s="3"/>
      <c r="H21" s="9"/>
      <c r="I21" s="9"/>
      <c r="J21" s="9"/>
      <c r="K21" s="9"/>
      <c r="L21" s="9"/>
      <c r="M21" s="9"/>
      <c r="N21" s="9"/>
      <c r="O21" s="9"/>
      <c r="P21" s="9"/>
      <c r="Q21" s="116" t="s">
        <v>4</v>
      </c>
      <c r="R21" s="116"/>
      <c r="S21" s="116"/>
    </row>
    <row r="22" spans="1:19" ht="15.75" customHeight="1" x14ac:dyDescent="0.4">
      <c r="A22" s="23" t="s">
        <v>10</v>
      </c>
      <c r="B22" s="95" t="s">
        <v>5</v>
      </c>
      <c r="C22" s="96"/>
      <c r="D22" s="96"/>
      <c r="E22" s="96"/>
      <c r="F22" s="96"/>
      <c r="G22" s="97"/>
      <c r="H22" s="105" t="s">
        <v>8</v>
      </c>
      <c r="I22" s="105"/>
      <c r="J22" s="105"/>
      <c r="K22" s="105" t="s">
        <v>7</v>
      </c>
      <c r="L22" s="105"/>
      <c r="M22" s="105"/>
      <c r="N22" s="105" t="s">
        <v>9</v>
      </c>
      <c r="O22" s="105"/>
      <c r="P22" s="105"/>
      <c r="Q22" s="105" t="s">
        <v>6</v>
      </c>
      <c r="R22" s="105"/>
      <c r="S22" s="105"/>
    </row>
    <row r="23" spans="1:19" ht="15.75" customHeight="1" x14ac:dyDescent="0.4">
      <c r="A23" s="45" t="str">
        <f>IF(B24=COUNTBLANK(B24),"","1")</f>
        <v>1</v>
      </c>
      <c r="B23" s="83" t="str">
        <f>HLOOKUP($U$3,入力シート!$B$5:$ZZ$93,33,FALSE)</f>
        <v>管理委託費</v>
      </c>
      <c r="C23" s="83"/>
      <c r="D23" s="83"/>
      <c r="E23" s="83"/>
      <c r="F23" s="83"/>
      <c r="G23" s="83"/>
      <c r="H23" s="86">
        <f>HLOOKUP($U$3,入力シート!$B$5:$ZZ$93,34,FALSE)</f>
        <v>3500000</v>
      </c>
      <c r="I23" s="86"/>
      <c r="J23" s="86"/>
      <c r="K23" s="86">
        <f>HLOOKUP($U$3,入力シート!$B$5:$ZZ$93,35,FALSE)</f>
        <v>3500000</v>
      </c>
      <c r="L23" s="86"/>
      <c r="M23" s="86"/>
      <c r="N23" s="87">
        <f>K23-H23</f>
        <v>0</v>
      </c>
      <c r="O23" s="87"/>
      <c r="P23" s="87"/>
      <c r="Q23" s="88">
        <f>IF(K23=COUNTBLANK(K23),"",K23/H23)</f>
        <v>1</v>
      </c>
      <c r="R23" s="88"/>
      <c r="S23" s="88"/>
    </row>
    <row r="24" spans="1:19" ht="15.75" customHeight="1" x14ac:dyDescent="0.4">
      <c r="A24" s="46" t="str">
        <f>IF(B24=COUNTBLANK(B24),"","2")</f>
        <v>2</v>
      </c>
      <c r="B24" s="65" t="str">
        <f>HLOOKUP($U$3,入力シート!$B$5:$ZZ$93,36,FALSE)</f>
        <v>消防設備点検費</v>
      </c>
      <c r="C24" s="65"/>
      <c r="D24" s="65"/>
      <c r="E24" s="65"/>
      <c r="F24" s="65"/>
      <c r="G24" s="65"/>
      <c r="H24" s="66">
        <f>HLOOKUP($U$3,入力シート!$B$5:$ZZ$93,37,FALSE)</f>
        <v>300000</v>
      </c>
      <c r="I24" s="66"/>
      <c r="J24" s="66"/>
      <c r="K24" s="66">
        <f>HLOOKUP($U$3,入力シート!$B$5:$ZZ$93,38,FALSE)</f>
        <v>300000</v>
      </c>
      <c r="L24" s="66"/>
      <c r="M24" s="66"/>
      <c r="N24" s="67">
        <f t="shared" ref="N24:N41" si="2">K24-H24</f>
        <v>0</v>
      </c>
      <c r="O24" s="67"/>
      <c r="P24" s="67"/>
      <c r="Q24" s="68">
        <f t="shared" ref="Q24:Q41" si="3">IF(K24=COUNTBLANK(K24),"",K24/H24)</f>
        <v>1</v>
      </c>
      <c r="R24" s="68"/>
      <c r="S24" s="68"/>
    </row>
    <row r="25" spans="1:19" ht="15.75" customHeight="1" x14ac:dyDescent="0.4">
      <c r="A25" s="46" t="str">
        <f>IF(B26=COUNTBLANK(B26),"","3")</f>
        <v>3</v>
      </c>
      <c r="B25" s="65" t="str">
        <f>HLOOKUP($U$3,入力シート!$B$5:$ZZ$93,39,FALSE)</f>
        <v>エレベーター保守費</v>
      </c>
      <c r="C25" s="65"/>
      <c r="D25" s="65"/>
      <c r="E25" s="65"/>
      <c r="F25" s="65"/>
      <c r="G25" s="65"/>
      <c r="H25" s="66">
        <f>HLOOKUP($U$3,入力シート!$B$5:$ZZ$93,40,FALSE)</f>
        <v>700000</v>
      </c>
      <c r="I25" s="66"/>
      <c r="J25" s="66"/>
      <c r="K25" s="66">
        <f>HLOOKUP($U$3,入力シート!$B$5:$ZZ$93,41,FALSE)</f>
        <v>700000</v>
      </c>
      <c r="L25" s="66"/>
      <c r="M25" s="66"/>
      <c r="N25" s="67">
        <f t="shared" si="2"/>
        <v>0</v>
      </c>
      <c r="O25" s="67"/>
      <c r="P25" s="67"/>
      <c r="Q25" s="68">
        <f t="shared" si="3"/>
        <v>1</v>
      </c>
      <c r="R25" s="68"/>
      <c r="S25" s="68"/>
    </row>
    <row r="26" spans="1:19" ht="15.75" customHeight="1" x14ac:dyDescent="0.4">
      <c r="A26" s="46" t="str">
        <f>IF(B26=COUNTBLANK(B26),"","4")</f>
        <v>4</v>
      </c>
      <c r="B26" s="65" t="str">
        <f>HLOOKUP($U$3,入力シート!$B$5:$ZZ$93,42,FALSE)</f>
        <v>配管洗浄費</v>
      </c>
      <c r="C26" s="65"/>
      <c r="D26" s="65"/>
      <c r="E26" s="65"/>
      <c r="F26" s="65"/>
      <c r="G26" s="65"/>
      <c r="H26" s="66">
        <f>HLOOKUP($U$3,入力シート!$B$5:$ZZ$93,43,FALSE)</f>
        <v>200000</v>
      </c>
      <c r="I26" s="66"/>
      <c r="J26" s="66"/>
      <c r="K26" s="66">
        <f>HLOOKUP($U$3,入力シート!$B$5:$ZZ$93,44,FALSE)</f>
        <v>200000</v>
      </c>
      <c r="L26" s="66"/>
      <c r="M26" s="66"/>
      <c r="N26" s="67">
        <f t="shared" si="2"/>
        <v>0</v>
      </c>
      <c r="O26" s="67"/>
      <c r="P26" s="67"/>
      <c r="Q26" s="68">
        <f t="shared" si="3"/>
        <v>1</v>
      </c>
      <c r="R26" s="68"/>
      <c r="S26" s="68"/>
    </row>
    <row r="27" spans="1:19" ht="15.75" customHeight="1" x14ac:dyDescent="0.4">
      <c r="A27" s="46" t="str">
        <f>IF(B28=COUNTBLANK(B28),"","5")</f>
        <v>5</v>
      </c>
      <c r="B27" s="65" t="str">
        <f>HLOOKUP($U$3,入力シート!$B$5:$ZZ$93,45,FALSE)</f>
        <v>雑費</v>
      </c>
      <c r="C27" s="65"/>
      <c r="D27" s="65"/>
      <c r="E27" s="65"/>
      <c r="F27" s="65"/>
      <c r="G27" s="65"/>
      <c r="H27" s="66">
        <f>HLOOKUP($U$3,入力シート!$B$5:$ZZ$93,46,FALSE)</f>
        <v>30000</v>
      </c>
      <c r="I27" s="66"/>
      <c r="J27" s="66"/>
      <c r="K27" s="66">
        <f>HLOOKUP($U$3,入力シート!$B$5:$ZZ$93,47,FALSE)</f>
        <v>15000</v>
      </c>
      <c r="L27" s="66"/>
      <c r="M27" s="66"/>
      <c r="N27" s="67">
        <f t="shared" si="2"/>
        <v>-15000</v>
      </c>
      <c r="O27" s="67"/>
      <c r="P27" s="67"/>
      <c r="Q27" s="68">
        <f t="shared" si="3"/>
        <v>0.5</v>
      </c>
      <c r="R27" s="68"/>
      <c r="S27" s="68"/>
    </row>
    <row r="28" spans="1:19" ht="15.75" customHeight="1" x14ac:dyDescent="0.4">
      <c r="A28" s="46" t="str">
        <f>IF(B28=COUNTBLANK(B28),"","6")</f>
        <v>6</v>
      </c>
      <c r="B28" s="65" t="str">
        <f>HLOOKUP($U$3,入力シート!$B$5:$ZZ$93,48,FALSE)</f>
        <v>雑費</v>
      </c>
      <c r="C28" s="65"/>
      <c r="D28" s="65"/>
      <c r="E28" s="65"/>
      <c r="F28" s="65"/>
      <c r="G28" s="65"/>
      <c r="H28" s="66">
        <f>HLOOKUP($U$3,入力シート!$B$5:$ZZ$93,49,FALSE)</f>
        <v>30000</v>
      </c>
      <c r="I28" s="66"/>
      <c r="J28" s="66"/>
      <c r="K28" s="66">
        <f>HLOOKUP($U$3,入力シート!$B$5:$ZZ$93,50,FALSE)</f>
        <v>15000</v>
      </c>
      <c r="L28" s="66"/>
      <c r="M28" s="66"/>
      <c r="N28" s="67">
        <f t="shared" si="2"/>
        <v>-15000</v>
      </c>
      <c r="O28" s="67"/>
      <c r="P28" s="67"/>
      <c r="Q28" s="68">
        <f t="shared" si="3"/>
        <v>0.5</v>
      </c>
      <c r="R28" s="68"/>
      <c r="S28" s="68"/>
    </row>
    <row r="29" spans="1:19" ht="15.75" customHeight="1" x14ac:dyDescent="0.4">
      <c r="A29" s="46" t="str">
        <f>IF(B30=COUNTBLANK(B30),"","7")</f>
        <v>7</v>
      </c>
      <c r="B29" s="65" t="str">
        <f>HLOOKUP($U$3,入力シート!$B$5:$ZZ$93,51,FALSE)</f>
        <v>雑費</v>
      </c>
      <c r="C29" s="65"/>
      <c r="D29" s="65"/>
      <c r="E29" s="65"/>
      <c r="F29" s="65"/>
      <c r="G29" s="65"/>
      <c r="H29" s="66">
        <f>HLOOKUP($U$3,入力シート!$B$5:$ZZ$93,52,FALSE)</f>
        <v>30000</v>
      </c>
      <c r="I29" s="66"/>
      <c r="J29" s="66"/>
      <c r="K29" s="66">
        <f>HLOOKUP($U$3,入力シート!$B$5:$ZZ$93,53,FALSE)</f>
        <v>15000</v>
      </c>
      <c r="L29" s="66"/>
      <c r="M29" s="66"/>
      <c r="N29" s="67">
        <f t="shared" si="2"/>
        <v>-15000</v>
      </c>
      <c r="O29" s="67"/>
      <c r="P29" s="67"/>
      <c r="Q29" s="68">
        <f t="shared" si="3"/>
        <v>0.5</v>
      </c>
      <c r="R29" s="68"/>
      <c r="S29" s="68"/>
    </row>
    <row r="30" spans="1:19" ht="15.75" customHeight="1" x14ac:dyDescent="0.4">
      <c r="A30" s="46" t="str">
        <f>IF(B30=COUNTBLANK(B30),"","8")</f>
        <v>8</v>
      </c>
      <c r="B30" s="65" t="str">
        <f>HLOOKUP($U$3,入力シート!$B$5:$ZZ$93,54,FALSE)</f>
        <v>雑費</v>
      </c>
      <c r="C30" s="65"/>
      <c r="D30" s="65"/>
      <c r="E30" s="65"/>
      <c r="F30" s="65"/>
      <c r="G30" s="65"/>
      <c r="H30" s="66">
        <f>HLOOKUP($U$3,入力シート!$B$5:$ZZ$93,55,FALSE)</f>
        <v>30000</v>
      </c>
      <c r="I30" s="66"/>
      <c r="J30" s="66"/>
      <c r="K30" s="66">
        <f>HLOOKUP($U$3,入力シート!$B$5:$ZZ$93,56,FALSE)</f>
        <v>15000</v>
      </c>
      <c r="L30" s="66"/>
      <c r="M30" s="66"/>
      <c r="N30" s="67">
        <f t="shared" si="2"/>
        <v>-15000</v>
      </c>
      <c r="O30" s="67"/>
      <c r="P30" s="67"/>
      <c r="Q30" s="68">
        <f t="shared" si="3"/>
        <v>0.5</v>
      </c>
      <c r="R30" s="68"/>
      <c r="S30" s="68"/>
    </row>
    <row r="31" spans="1:19" ht="15.75" customHeight="1" x14ac:dyDescent="0.4">
      <c r="A31" s="46" t="str">
        <f>IF(B32=COUNTBLANK(B32),"","9")</f>
        <v>9</v>
      </c>
      <c r="B31" s="65" t="str">
        <f>HLOOKUP($U$3,入力シート!$B$5:$ZZ$93,57,FALSE)</f>
        <v>雑費</v>
      </c>
      <c r="C31" s="65"/>
      <c r="D31" s="65"/>
      <c r="E31" s="65"/>
      <c r="F31" s="65"/>
      <c r="G31" s="65"/>
      <c r="H31" s="66">
        <f>HLOOKUP($U$3,入力シート!$B$5:$ZZ$93,58,FALSE)</f>
        <v>30000</v>
      </c>
      <c r="I31" s="66"/>
      <c r="J31" s="66"/>
      <c r="K31" s="66">
        <f>HLOOKUP($U$3,入力シート!$B$5:$ZZ$93,59,FALSE)</f>
        <v>15000</v>
      </c>
      <c r="L31" s="66"/>
      <c r="M31" s="66"/>
      <c r="N31" s="67">
        <f t="shared" si="2"/>
        <v>-15000</v>
      </c>
      <c r="O31" s="67"/>
      <c r="P31" s="67"/>
      <c r="Q31" s="68">
        <f t="shared" si="3"/>
        <v>0.5</v>
      </c>
      <c r="R31" s="68"/>
      <c r="S31" s="68"/>
    </row>
    <row r="32" spans="1:19" ht="15.75" customHeight="1" x14ac:dyDescent="0.4">
      <c r="A32" s="46" t="str">
        <f>IF(B32=COUNTBLANK(B32),"","10")</f>
        <v>10</v>
      </c>
      <c r="B32" s="65" t="str">
        <f>HLOOKUP($U$3,入力シート!$B$5:$ZZ$93,60,FALSE)</f>
        <v>雑費</v>
      </c>
      <c r="C32" s="65"/>
      <c r="D32" s="65"/>
      <c r="E32" s="65"/>
      <c r="F32" s="65"/>
      <c r="G32" s="65"/>
      <c r="H32" s="66">
        <f>HLOOKUP($U$3,入力シート!$B$5:$ZZ$93,61,FALSE)</f>
        <v>30000</v>
      </c>
      <c r="I32" s="66"/>
      <c r="J32" s="66"/>
      <c r="K32" s="66">
        <f>HLOOKUP($U$3,入力シート!$B$5:$ZZ$93,62,FALSE)</f>
        <v>15000</v>
      </c>
      <c r="L32" s="66"/>
      <c r="M32" s="66"/>
      <c r="N32" s="67">
        <f t="shared" si="2"/>
        <v>-15000</v>
      </c>
      <c r="O32" s="67"/>
      <c r="P32" s="67"/>
      <c r="Q32" s="68">
        <f t="shared" si="3"/>
        <v>0.5</v>
      </c>
      <c r="R32" s="68"/>
      <c r="S32" s="68"/>
    </row>
    <row r="33" spans="1:23" ht="15.75" customHeight="1" x14ac:dyDescent="0.4">
      <c r="A33" s="46" t="str">
        <f>IF(B34=COUNTBLANK(B34),"","11")</f>
        <v>11</v>
      </c>
      <c r="B33" s="65" t="str">
        <f>HLOOKUP($U$3,入力シート!$B$5:$ZZ$93,63,FALSE)</f>
        <v>雑費</v>
      </c>
      <c r="C33" s="65"/>
      <c r="D33" s="65"/>
      <c r="E33" s="65"/>
      <c r="F33" s="65"/>
      <c r="G33" s="65"/>
      <c r="H33" s="66">
        <f>HLOOKUP($U$3,入力シート!$B$5:$ZZ$93,64,FALSE)</f>
        <v>30000</v>
      </c>
      <c r="I33" s="66"/>
      <c r="J33" s="66"/>
      <c r="K33" s="66">
        <f>HLOOKUP($U$3,入力シート!$B$5:$ZZ$93,65,FALSE)</f>
        <v>15000</v>
      </c>
      <c r="L33" s="66"/>
      <c r="M33" s="66"/>
      <c r="N33" s="67">
        <f t="shared" si="2"/>
        <v>-15000</v>
      </c>
      <c r="O33" s="67"/>
      <c r="P33" s="67"/>
      <c r="Q33" s="68">
        <f t="shared" si="3"/>
        <v>0.5</v>
      </c>
      <c r="R33" s="68"/>
      <c r="S33" s="68"/>
    </row>
    <row r="34" spans="1:23" ht="15.75" customHeight="1" x14ac:dyDescent="0.4">
      <c r="A34" s="46" t="str">
        <f>IF(B34=COUNTBLANK(B34),"","12")</f>
        <v>12</v>
      </c>
      <c r="B34" s="65" t="str">
        <f>HLOOKUP($U$3,入力シート!$B$5:$ZZ$93,66,FALSE)</f>
        <v>雑費</v>
      </c>
      <c r="C34" s="65"/>
      <c r="D34" s="65"/>
      <c r="E34" s="65"/>
      <c r="F34" s="65"/>
      <c r="G34" s="65"/>
      <c r="H34" s="66">
        <f>HLOOKUP($U$3,入力シート!$B$5:$ZZ$93,67,FALSE)</f>
        <v>30000</v>
      </c>
      <c r="I34" s="66"/>
      <c r="J34" s="66"/>
      <c r="K34" s="66">
        <f>HLOOKUP($U$3,入力シート!$B$5:$ZZ$93,68,FALSE)</f>
        <v>15000</v>
      </c>
      <c r="L34" s="66"/>
      <c r="M34" s="66"/>
      <c r="N34" s="67">
        <f t="shared" si="2"/>
        <v>-15000</v>
      </c>
      <c r="O34" s="67"/>
      <c r="P34" s="67"/>
      <c r="Q34" s="68">
        <f t="shared" si="3"/>
        <v>0.5</v>
      </c>
      <c r="R34" s="68"/>
      <c r="S34" s="68"/>
    </row>
    <row r="35" spans="1:23" ht="15.75" customHeight="1" x14ac:dyDescent="0.4">
      <c r="A35" s="46" t="str">
        <f>IF(B36=COUNTBLANK(B36),"","13")</f>
        <v>13</v>
      </c>
      <c r="B35" s="65" t="str">
        <f>HLOOKUP($U$3,入力シート!$B$5:$ZZ$93,69,FALSE)</f>
        <v>雑費</v>
      </c>
      <c r="C35" s="65"/>
      <c r="D35" s="65"/>
      <c r="E35" s="65"/>
      <c r="F35" s="65"/>
      <c r="G35" s="65"/>
      <c r="H35" s="66">
        <f>HLOOKUP($U$3,入力シート!$B$5:$ZZ$93,70,FALSE)</f>
        <v>30000</v>
      </c>
      <c r="I35" s="66"/>
      <c r="J35" s="66"/>
      <c r="K35" s="66">
        <f>HLOOKUP($U$3,入力シート!$B$5:$ZZ$93,71,FALSE)</f>
        <v>15000</v>
      </c>
      <c r="L35" s="66"/>
      <c r="M35" s="66"/>
      <c r="N35" s="67">
        <f t="shared" si="2"/>
        <v>-15000</v>
      </c>
      <c r="O35" s="67"/>
      <c r="P35" s="67"/>
      <c r="Q35" s="68">
        <f t="shared" si="3"/>
        <v>0.5</v>
      </c>
      <c r="R35" s="68"/>
      <c r="S35" s="68"/>
    </row>
    <row r="36" spans="1:23" ht="15.75" customHeight="1" x14ac:dyDescent="0.4">
      <c r="A36" s="46" t="str">
        <f>IF(B36=COUNTBLANK(B36),"","14")</f>
        <v>14</v>
      </c>
      <c r="B36" s="65" t="str">
        <f>HLOOKUP($U$3,入力シート!$B$5:$ZZ$93,72,FALSE)</f>
        <v>雑費</v>
      </c>
      <c r="C36" s="65"/>
      <c r="D36" s="65"/>
      <c r="E36" s="65"/>
      <c r="F36" s="65"/>
      <c r="G36" s="65"/>
      <c r="H36" s="66">
        <f>HLOOKUP($U$3,入力シート!$B$5:$ZZ$93,73,FALSE)</f>
        <v>30000</v>
      </c>
      <c r="I36" s="66"/>
      <c r="J36" s="66"/>
      <c r="K36" s="66">
        <f>HLOOKUP($U$3,入力シート!$B$5:$ZZ$93,74,FALSE)</f>
        <v>15000</v>
      </c>
      <c r="L36" s="66"/>
      <c r="M36" s="66"/>
      <c r="N36" s="67">
        <f t="shared" si="2"/>
        <v>-15000</v>
      </c>
      <c r="O36" s="67"/>
      <c r="P36" s="67"/>
      <c r="Q36" s="68">
        <f t="shared" si="3"/>
        <v>0.5</v>
      </c>
      <c r="R36" s="68"/>
      <c r="S36" s="68"/>
    </row>
    <row r="37" spans="1:23" ht="15.75" customHeight="1" x14ac:dyDescent="0.4">
      <c r="A37" s="46" t="str">
        <f>IF(B38=COUNTBLANK(B38),"","15")</f>
        <v>15</v>
      </c>
      <c r="B37" s="65" t="str">
        <f>HLOOKUP($U$3,入力シート!$B$5:$ZZ$93,75,FALSE)</f>
        <v>雑費</v>
      </c>
      <c r="C37" s="65"/>
      <c r="D37" s="65"/>
      <c r="E37" s="65"/>
      <c r="F37" s="65"/>
      <c r="G37" s="65"/>
      <c r="H37" s="66">
        <f>HLOOKUP($U$3,入力シート!$B$5:$ZZ$93,76,FALSE)</f>
        <v>30000</v>
      </c>
      <c r="I37" s="66"/>
      <c r="J37" s="66"/>
      <c r="K37" s="66">
        <f>HLOOKUP($U$3,入力シート!$B$5:$ZZ$93,77,FALSE)</f>
        <v>15000</v>
      </c>
      <c r="L37" s="66"/>
      <c r="M37" s="66"/>
      <c r="N37" s="67">
        <f t="shared" si="2"/>
        <v>-15000</v>
      </c>
      <c r="O37" s="67"/>
      <c r="P37" s="67"/>
      <c r="Q37" s="68">
        <f t="shared" si="3"/>
        <v>0.5</v>
      </c>
      <c r="R37" s="68"/>
      <c r="S37" s="68"/>
      <c r="W37" s="1" t="s">
        <v>68</v>
      </c>
    </row>
    <row r="38" spans="1:23" ht="15.75" customHeight="1" x14ac:dyDescent="0.4">
      <c r="A38" s="46" t="str">
        <f>IF(B38=COUNTBLANK(B38),"","16")</f>
        <v>16</v>
      </c>
      <c r="B38" s="65" t="str">
        <f>HLOOKUP($U$3,入力シート!$B$5:$ZZ$93,78,FALSE)</f>
        <v>雑費</v>
      </c>
      <c r="C38" s="65"/>
      <c r="D38" s="65"/>
      <c r="E38" s="65"/>
      <c r="F38" s="65"/>
      <c r="G38" s="65"/>
      <c r="H38" s="66">
        <f>HLOOKUP($U$3,入力シート!$B$5:$ZZ$93,79,FALSE)</f>
        <v>30000</v>
      </c>
      <c r="I38" s="66"/>
      <c r="J38" s="66"/>
      <c r="K38" s="66">
        <f>HLOOKUP($U$3,入力シート!$B$5:$ZZ$93,80,FALSE)</f>
        <v>15000</v>
      </c>
      <c r="L38" s="66"/>
      <c r="M38" s="66"/>
      <c r="N38" s="67">
        <f t="shared" si="2"/>
        <v>-15000</v>
      </c>
      <c r="O38" s="67"/>
      <c r="P38" s="67"/>
      <c r="Q38" s="68">
        <f t="shared" si="3"/>
        <v>0.5</v>
      </c>
      <c r="R38" s="68"/>
      <c r="S38" s="68"/>
    </row>
    <row r="39" spans="1:23" ht="15.75" customHeight="1" x14ac:dyDescent="0.4">
      <c r="A39" s="46" t="str">
        <f>IF(B40=COUNTBLANK(B40),"","17")</f>
        <v>17</v>
      </c>
      <c r="B39" s="65" t="str">
        <f>HLOOKUP($U$3,入力シート!$B$5:$ZZ$93,81,FALSE)</f>
        <v>雑費</v>
      </c>
      <c r="C39" s="65"/>
      <c r="D39" s="65"/>
      <c r="E39" s="65"/>
      <c r="F39" s="65"/>
      <c r="G39" s="65"/>
      <c r="H39" s="66">
        <f>HLOOKUP($U$3,入力シート!$B$5:$ZZ$93,82,FALSE)</f>
        <v>30000</v>
      </c>
      <c r="I39" s="66"/>
      <c r="J39" s="66"/>
      <c r="K39" s="66">
        <f>HLOOKUP($U$3,入力シート!$B$5:$ZZ$93,83,FALSE)</f>
        <v>15000</v>
      </c>
      <c r="L39" s="66"/>
      <c r="M39" s="66"/>
      <c r="N39" s="67">
        <f t="shared" si="2"/>
        <v>-15000</v>
      </c>
      <c r="O39" s="67"/>
      <c r="P39" s="67"/>
      <c r="Q39" s="68">
        <f t="shared" si="3"/>
        <v>0.5</v>
      </c>
      <c r="R39" s="68"/>
      <c r="S39" s="68"/>
    </row>
    <row r="40" spans="1:23" ht="15.75" customHeight="1" x14ac:dyDescent="0.4">
      <c r="A40" s="46" t="str">
        <f>IF(B40=COUNTBLANK(B40),"","18")</f>
        <v>18</v>
      </c>
      <c r="B40" s="65" t="str">
        <f>HLOOKUP($U$3,入力シート!$B$5:$ZZ$93,84,FALSE)</f>
        <v>雑費</v>
      </c>
      <c r="C40" s="65"/>
      <c r="D40" s="65"/>
      <c r="E40" s="65"/>
      <c r="F40" s="65"/>
      <c r="G40" s="65"/>
      <c r="H40" s="66">
        <f>HLOOKUP($U$3,入力シート!$B$5:$ZZ$93,85,FALSE)</f>
        <v>30000</v>
      </c>
      <c r="I40" s="66"/>
      <c r="J40" s="66"/>
      <c r="K40" s="66">
        <f>HLOOKUP($U$3,入力シート!$B$5:$ZZ$93,86,FALSE)</f>
        <v>15000</v>
      </c>
      <c r="L40" s="66"/>
      <c r="M40" s="66"/>
      <c r="N40" s="67">
        <f t="shared" si="2"/>
        <v>-15000</v>
      </c>
      <c r="O40" s="67"/>
      <c r="P40" s="67"/>
      <c r="Q40" s="68">
        <f t="shared" si="3"/>
        <v>0.5</v>
      </c>
      <c r="R40" s="68"/>
      <c r="S40" s="68"/>
    </row>
    <row r="41" spans="1:23" ht="15.75" customHeight="1" thickBot="1" x14ac:dyDescent="0.45">
      <c r="A41" s="47" t="str">
        <f>IF(B42=COUNTBLANK(B42),"","19")</f>
        <v>19</v>
      </c>
      <c r="B41" s="61" t="str">
        <f>HLOOKUP($U$3,入力シート!$B$5:$ZZ$93,87,FALSE)</f>
        <v>雑費</v>
      </c>
      <c r="C41" s="61"/>
      <c r="D41" s="61"/>
      <c r="E41" s="61"/>
      <c r="F41" s="61"/>
      <c r="G41" s="61"/>
      <c r="H41" s="62">
        <f>HLOOKUP($U$3,入力シート!$B$5:$ZZ$93,88,FALSE)</f>
        <v>30000</v>
      </c>
      <c r="I41" s="62"/>
      <c r="J41" s="62"/>
      <c r="K41" s="62">
        <f>HLOOKUP($U$3,入力シート!$B$5:$ZZ$93,89,FALSE)</f>
        <v>15000</v>
      </c>
      <c r="L41" s="62"/>
      <c r="M41" s="62"/>
      <c r="N41" s="63">
        <f t="shared" si="2"/>
        <v>-15000</v>
      </c>
      <c r="O41" s="63"/>
      <c r="P41" s="63"/>
      <c r="Q41" s="64">
        <f t="shared" si="3"/>
        <v>0.5</v>
      </c>
      <c r="R41" s="64"/>
      <c r="S41" s="64"/>
    </row>
    <row r="42" spans="1:23" ht="15.75" customHeight="1" thickBot="1" x14ac:dyDescent="0.45">
      <c r="A42" s="73" t="s">
        <v>13</v>
      </c>
      <c r="B42" s="74"/>
      <c r="C42" s="74"/>
      <c r="D42" s="74"/>
      <c r="E42" s="74"/>
      <c r="F42" s="74"/>
      <c r="G42" s="75"/>
      <c r="H42" s="80">
        <f>SUM(H23:J41)</f>
        <v>5150000</v>
      </c>
      <c r="I42" s="80"/>
      <c r="J42" s="80"/>
      <c r="K42" s="80">
        <f>SUM(K23:M41)</f>
        <v>4925000</v>
      </c>
      <c r="L42" s="80"/>
      <c r="M42" s="80"/>
      <c r="N42" s="81">
        <f>SUM(N23:P41)</f>
        <v>-225000</v>
      </c>
      <c r="O42" s="81"/>
      <c r="P42" s="81"/>
      <c r="Q42" s="55" t="s">
        <v>67</v>
      </c>
      <c r="R42" s="78">
        <f>AVERAGE(Q23:S41)</f>
        <v>0.60526315789473684</v>
      </c>
      <c r="S42" s="79"/>
    </row>
    <row r="43" spans="1:23" ht="15.75" customHeight="1" x14ac:dyDescent="0.4">
      <c r="A43" s="56"/>
      <c r="B43" s="56"/>
      <c r="C43" s="56"/>
      <c r="D43" s="56"/>
      <c r="E43" s="56"/>
      <c r="F43" s="56"/>
      <c r="G43" s="56"/>
      <c r="H43" s="57"/>
      <c r="I43" s="57"/>
      <c r="J43" s="57"/>
      <c r="K43" s="57"/>
      <c r="L43" s="57"/>
      <c r="M43" s="57"/>
      <c r="N43" s="58"/>
      <c r="O43" s="58"/>
      <c r="P43" s="58"/>
      <c r="Q43" s="59"/>
      <c r="R43" s="60"/>
      <c r="S43" s="60"/>
    </row>
    <row r="44" spans="1:23" ht="15.75" customHeight="1" x14ac:dyDescent="0.4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116" t="s">
        <v>4</v>
      </c>
      <c r="R44" s="116"/>
      <c r="S44" s="116"/>
    </row>
    <row r="45" spans="1:23" ht="15.75" customHeight="1" x14ac:dyDescent="0.4">
      <c r="A45" s="3"/>
      <c r="B45" s="3"/>
      <c r="C45" s="3"/>
      <c r="D45" s="3"/>
      <c r="E45" s="3"/>
      <c r="F45" s="3"/>
      <c r="G45" s="3"/>
      <c r="H45" s="3"/>
      <c r="I45" s="3"/>
      <c r="J45" s="3"/>
      <c r="K45" s="83" t="s">
        <v>69</v>
      </c>
      <c r="L45" s="83"/>
      <c r="M45" s="83"/>
      <c r="N45" s="82">
        <f>K19</f>
        <v>6510000</v>
      </c>
      <c r="O45" s="82"/>
      <c r="P45" s="82"/>
      <c r="Q45" s="82"/>
      <c r="R45" s="82"/>
      <c r="S45" s="82"/>
    </row>
    <row r="46" spans="1:23" ht="15.75" customHeight="1" thickBot="1" x14ac:dyDescent="0.45">
      <c r="A46" s="3"/>
      <c r="B46" s="3"/>
      <c r="C46" s="3"/>
      <c r="D46" s="3"/>
      <c r="E46" s="3"/>
      <c r="F46" s="3"/>
      <c r="G46" s="3"/>
      <c r="H46" s="3"/>
      <c r="I46" s="3"/>
      <c r="J46" s="3"/>
      <c r="K46" s="84" t="s">
        <v>70</v>
      </c>
      <c r="L46" s="84"/>
      <c r="M46" s="84"/>
      <c r="N46" s="85">
        <f>K42</f>
        <v>4925000</v>
      </c>
      <c r="O46" s="85"/>
      <c r="P46" s="85"/>
      <c r="Q46" s="85"/>
      <c r="R46" s="85"/>
      <c r="S46" s="85"/>
    </row>
    <row r="47" spans="1:23" ht="15.75" customHeight="1" thickBot="1" x14ac:dyDescent="0.45">
      <c r="A47" s="3"/>
      <c r="B47" s="3"/>
      <c r="C47" s="3"/>
      <c r="D47" s="3"/>
      <c r="E47" s="3"/>
      <c r="F47" s="3"/>
      <c r="G47" s="3"/>
      <c r="H47" s="3"/>
      <c r="I47" s="3"/>
      <c r="J47" s="3"/>
      <c r="K47" s="69" t="s">
        <v>71</v>
      </c>
      <c r="L47" s="70"/>
      <c r="M47" s="70"/>
      <c r="N47" s="71">
        <f>N45-N46</f>
        <v>1585000</v>
      </c>
      <c r="O47" s="71"/>
      <c r="P47" s="71"/>
      <c r="Q47" s="71"/>
      <c r="R47" s="71"/>
      <c r="S47" s="72"/>
    </row>
    <row r="48" spans="1:23" ht="15.75" customHeight="1" x14ac:dyDescent="0.4">
      <c r="A48" s="5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13"/>
      <c r="O48" s="13"/>
      <c r="P48" s="13"/>
      <c r="Q48" s="13"/>
      <c r="R48" s="13"/>
      <c r="S48" s="5"/>
    </row>
    <row r="49" spans="1:19" ht="15.75" customHeight="1" x14ac:dyDescent="0.4">
      <c r="A49" s="115" t="s">
        <v>2</v>
      </c>
      <c r="B49" s="115"/>
      <c r="C49" s="115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115"/>
      <c r="S49" s="115"/>
    </row>
    <row r="50" spans="1:19" ht="15.75" customHeight="1" x14ac:dyDescent="0.4">
      <c r="B50" s="5"/>
      <c r="C50" s="3"/>
      <c r="D50" s="3"/>
      <c r="E50" s="3"/>
      <c r="F50" s="3"/>
      <c r="G50" s="3"/>
      <c r="H50" s="3"/>
      <c r="I50" s="3"/>
      <c r="J50" s="5"/>
      <c r="K50" s="3"/>
      <c r="L50" s="3"/>
      <c r="M50" s="3"/>
      <c r="N50" s="10"/>
      <c r="O50" s="10"/>
      <c r="P50" s="10"/>
      <c r="Q50" s="2"/>
      <c r="R50" s="2"/>
    </row>
    <row r="51" spans="1:19" ht="15.75" customHeight="1" x14ac:dyDescent="0.4">
      <c r="B51" s="5"/>
      <c r="C51" s="3"/>
      <c r="D51" s="3"/>
      <c r="E51" s="3"/>
      <c r="F51" s="3"/>
      <c r="G51" s="3"/>
      <c r="H51" s="3"/>
      <c r="I51" s="3"/>
      <c r="J51" s="5"/>
      <c r="K51" s="7"/>
      <c r="L51" s="8"/>
      <c r="M51" s="6"/>
      <c r="N51" s="10"/>
      <c r="O51" s="10"/>
      <c r="P51" s="10"/>
      <c r="Q51" s="2"/>
    </row>
    <row r="52" spans="1:19" ht="15.75" customHeight="1" x14ac:dyDescent="0.4">
      <c r="B52" s="5"/>
      <c r="C52" s="3"/>
      <c r="D52" s="3"/>
      <c r="E52" s="3"/>
      <c r="F52" s="3"/>
      <c r="G52" s="3"/>
      <c r="H52" s="3"/>
      <c r="I52" s="3"/>
      <c r="J52" s="5"/>
      <c r="K52" s="3"/>
      <c r="L52" s="3"/>
      <c r="M52" s="3"/>
      <c r="N52" s="10"/>
      <c r="O52" s="10"/>
      <c r="P52" s="10"/>
      <c r="Q52" s="2"/>
    </row>
    <row r="53" spans="1:19" ht="15.75" customHeight="1" x14ac:dyDescent="0.4">
      <c r="B53" s="5"/>
      <c r="C53" s="3"/>
      <c r="D53" s="3"/>
      <c r="E53" s="3"/>
      <c r="F53" s="3"/>
      <c r="G53" s="3"/>
      <c r="H53" s="3"/>
      <c r="I53" s="3"/>
      <c r="J53" s="5"/>
      <c r="K53" s="3"/>
      <c r="L53" s="3"/>
      <c r="M53" s="3"/>
      <c r="N53" s="10"/>
      <c r="O53" s="10"/>
      <c r="P53" s="10"/>
      <c r="Q53" s="2"/>
    </row>
    <row r="54" spans="1:19" ht="15.75" customHeight="1" x14ac:dyDescent="0.4">
      <c r="B54" s="5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10"/>
      <c r="O54" s="10"/>
      <c r="P54" s="10"/>
      <c r="Q54" s="2"/>
    </row>
    <row r="55" spans="1:19" ht="15.75" customHeight="1" x14ac:dyDescent="0.4">
      <c r="B55" s="5"/>
      <c r="C55" s="3"/>
      <c r="D55" s="3"/>
      <c r="E55" s="3"/>
      <c r="F55" s="3"/>
      <c r="G55" s="3"/>
      <c r="H55" s="3"/>
      <c r="I55" s="3"/>
      <c r="J55" s="5"/>
      <c r="K55" s="11"/>
      <c r="L55" s="11"/>
      <c r="M55" s="11"/>
      <c r="N55" s="12"/>
      <c r="O55" s="12"/>
      <c r="P55" s="12"/>
      <c r="Q55" s="2"/>
    </row>
    <row r="56" spans="1:19" ht="15.75" customHeight="1" x14ac:dyDescent="0.4">
      <c r="B56" s="5"/>
      <c r="C56" s="3"/>
      <c r="D56" s="3"/>
      <c r="E56" s="3"/>
      <c r="F56" s="3"/>
      <c r="G56" s="3"/>
      <c r="H56" s="3"/>
      <c r="I56" s="3"/>
      <c r="J56" s="5"/>
      <c r="K56" s="5"/>
      <c r="L56" s="5"/>
      <c r="M56" s="5"/>
      <c r="N56" s="3"/>
      <c r="O56" s="3"/>
      <c r="P56" s="3"/>
      <c r="Q56" s="2"/>
    </row>
    <row r="57" spans="1:19" ht="15.75" customHeight="1" x14ac:dyDescent="0.4"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2"/>
    </row>
    <row r="58" spans="1:19" ht="15.75" customHeight="1" x14ac:dyDescent="0.4"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2"/>
    </row>
    <row r="59" spans="1:19" ht="15.75" customHeight="1" x14ac:dyDescent="0.4"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2"/>
    </row>
    <row r="60" spans="1:19" ht="15.75" customHeight="1" x14ac:dyDescent="0.4"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2"/>
    </row>
    <row r="61" spans="1:19" ht="15.75" customHeight="1" x14ac:dyDescent="0.4"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2"/>
    </row>
    <row r="62" spans="1:19" ht="15.75" customHeight="1" x14ac:dyDescent="0.4"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2"/>
    </row>
  </sheetData>
  <mergeCells count="180">
    <mergeCell ref="Q44:S44"/>
    <mergeCell ref="U3:W3"/>
    <mergeCell ref="U2:W2"/>
    <mergeCell ref="B24:G24"/>
    <mergeCell ref="B26:G26"/>
    <mergeCell ref="B28:G28"/>
    <mergeCell ref="B30:G30"/>
    <mergeCell ref="N12:P12"/>
    <mergeCell ref="Q12:S12"/>
    <mergeCell ref="N13:P13"/>
    <mergeCell ref="Q13:S13"/>
    <mergeCell ref="H12:J12"/>
    <mergeCell ref="K12:M12"/>
    <mergeCell ref="H13:J13"/>
    <mergeCell ref="A8:C8"/>
    <mergeCell ref="Q8:S8"/>
    <mergeCell ref="H9:J9"/>
    <mergeCell ref="K9:M9"/>
    <mergeCell ref="N9:P9"/>
    <mergeCell ref="Q9:S9"/>
    <mergeCell ref="A49:S49"/>
    <mergeCell ref="B32:G32"/>
    <mergeCell ref="H32:J32"/>
    <mergeCell ref="K32:M32"/>
    <mergeCell ref="N32:P32"/>
    <mergeCell ref="Q32:S32"/>
    <mergeCell ref="B33:G33"/>
    <mergeCell ref="H33:J33"/>
    <mergeCell ref="K33:M33"/>
    <mergeCell ref="N33:P33"/>
    <mergeCell ref="Q33:S33"/>
    <mergeCell ref="B34:G34"/>
    <mergeCell ref="H34:J34"/>
    <mergeCell ref="K34:M34"/>
    <mergeCell ref="N34:P34"/>
    <mergeCell ref="Q34:S34"/>
    <mergeCell ref="B35:G35"/>
    <mergeCell ref="H35:J35"/>
    <mergeCell ref="K35:M35"/>
    <mergeCell ref="N35:P35"/>
    <mergeCell ref="Q35:S35"/>
    <mergeCell ref="B36:G36"/>
    <mergeCell ref="H36:J36"/>
    <mergeCell ref="K36:M36"/>
    <mergeCell ref="B9:G9"/>
    <mergeCell ref="P1:S1"/>
    <mergeCell ref="B6:E6"/>
    <mergeCell ref="G6:J6"/>
    <mergeCell ref="A5:J5"/>
    <mergeCell ref="H10:J10"/>
    <mergeCell ref="K10:M10"/>
    <mergeCell ref="N10:P10"/>
    <mergeCell ref="Q10:S10"/>
    <mergeCell ref="H11:J11"/>
    <mergeCell ref="K11:M11"/>
    <mergeCell ref="N11:P11"/>
    <mergeCell ref="Q11:S11"/>
    <mergeCell ref="B10:G10"/>
    <mergeCell ref="B11:G11"/>
    <mergeCell ref="K14:M14"/>
    <mergeCell ref="N14:P14"/>
    <mergeCell ref="Q14:S14"/>
    <mergeCell ref="K13:M13"/>
    <mergeCell ref="H14:J14"/>
    <mergeCell ref="N22:P22"/>
    <mergeCell ref="Q22:S22"/>
    <mergeCell ref="H15:J15"/>
    <mergeCell ref="K15:M15"/>
    <mergeCell ref="N15:P15"/>
    <mergeCell ref="Q15:S15"/>
    <mergeCell ref="H16:J16"/>
    <mergeCell ref="K16:M16"/>
    <mergeCell ref="N16:P16"/>
    <mergeCell ref="Q16:S16"/>
    <mergeCell ref="K17:M17"/>
    <mergeCell ref="N17:P17"/>
    <mergeCell ref="Q17:S17"/>
    <mergeCell ref="H17:J17"/>
    <mergeCell ref="Q21:S21"/>
    <mergeCell ref="H23:J23"/>
    <mergeCell ref="K23:M23"/>
    <mergeCell ref="N23:P23"/>
    <mergeCell ref="Q23:S23"/>
    <mergeCell ref="B23:G23"/>
    <mergeCell ref="B12:G12"/>
    <mergeCell ref="B13:G13"/>
    <mergeCell ref="B14:G14"/>
    <mergeCell ref="B15:G15"/>
    <mergeCell ref="B16:G16"/>
    <mergeCell ref="B17:G17"/>
    <mergeCell ref="B18:G18"/>
    <mergeCell ref="B22:G22"/>
    <mergeCell ref="A21:C21"/>
    <mergeCell ref="H18:J18"/>
    <mergeCell ref="K18:M18"/>
    <mergeCell ref="N18:P18"/>
    <mergeCell ref="Q18:S18"/>
    <mergeCell ref="A19:G19"/>
    <mergeCell ref="H19:J19"/>
    <mergeCell ref="K19:M19"/>
    <mergeCell ref="N19:P19"/>
    <mergeCell ref="H22:J22"/>
    <mergeCell ref="K22:M22"/>
    <mergeCell ref="H24:J24"/>
    <mergeCell ref="K24:M24"/>
    <mergeCell ref="N24:P24"/>
    <mergeCell ref="Q24:S24"/>
    <mergeCell ref="B25:G25"/>
    <mergeCell ref="H25:J25"/>
    <mergeCell ref="K25:M25"/>
    <mergeCell ref="N25:P25"/>
    <mergeCell ref="Q25:S25"/>
    <mergeCell ref="H26:J26"/>
    <mergeCell ref="K26:M26"/>
    <mergeCell ref="N26:P26"/>
    <mergeCell ref="Q26:S26"/>
    <mergeCell ref="B27:G27"/>
    <mergeCell ref="H27:J27"/>
    <mergeCell ref="K27:M27"/>
    <mergeCell ref="N27:P27"/>
    <mergeCell ref="Q27:S27"/>
    <mergeCell ref="H28:J28"/>
    <mergeCell ref="K28:M28"/>
    <mergeCell ref="N28:P28"/>
    <mergeCell ref="Q28:S28"/>
    <mergeCell ref="B29:G29"/>
    <mergeCell ref="H29:J29"/>
    <mergeCell ref="K29:M29"/>
    <mergeCell ref="N29:P29"/>
    <mergeCell ref="Q29:S29"/>
    <mergeCell ref="N37:P37"/>
    <mergeCell ref="Q37:S37"/>
    <mergeCell ref="B38:G38"/>
    <mergeCell ref="H38:J38"/>
    <mergeCell ref="K38:M38"/>
    <mergeCell ref="N38:P38"/>
    <mergeCell ref="Q38:S38"/>
    <mergeCell ref="H30:J30"/>
    <mergeCell ref="K30:M30"/>
    <mergeCell ref="N30:P30"/>
    <mergeCell ref="Q30:S30"/>
    <mergeCell ref="B31:G31"/>
    <mergeCell ref="H31:J31"/>
    <mergeCell ref="K31:M31"/>
    <mergeCell ref="N31:P31"/>
    <mergeCell ref="Q31:S31"/>
    <mergeCell ref="K47:M47"/>
    <mergeCell ref="N47:S47"/>
    <mergeCell ref="A42:G42"/>
    <mergeCell ref="J2:P3"/>
    <mergeCell ref="D2:I3"/>
    <mergeCell ref="R19:S19"/>
    <mergeCell ref="R42:S42"/>
    <mergeCell ref="H42:J42"/>
    <mergeCell ref="K42:M42"/>
    <mergeCell ref="N42:P42"/>
    <mergeCell ref="N45:S45"/>
    <mergeCell ref="K45:M45"/>
    <mergeCell ref="K46:M46"/>
    <mergeCell ref="N46:S46"/>
    <mergeCell ref="B40:G40"/>
    <mergeCell ref="H40:J40"/>
    <mergeCell ref="K40:M40"/>
    <mergeCell ref="N40:P40"/>
    <mergeCell ref="Q40:S40"/>
    <mergeCell ref="N36:P36"/>
    <mergeCell ref="Q36:S36"/>
    <mergeCell ref="B37:G37"/>
    <mergeCell ref="H37:J37"/>
    <mergeCell ref="K37:M37"/>
    <mergeCell ref="B41:G41"/>
    <mergeCell ref="H41:J41"/>
    <mergeCell ref="K41:M41"/>
    <mergeCell ref="N41:P41"/>
    <mergeCell ref="Q41:S41"/>
    <mergeCell ref="B39:G39"/>
    <mergeCell ref="H39:J39"/>
    <mergeCell ref="K39:M39"/>
    <mergeCell ref="N39:P39"/>
    <mergeCell ref="Q39:S39"/>
  </mergeCells>
  <phoneticPr fontId="1"/>
  <printOptions horizontalCentered="1" verticalCentered="1"/>
  <pageMargins left="0.43307086614173229" right="0.43307086614173229" top="0.35433070866141736" bottom="0.35433070866141736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52BE6-78B6-48D4-84E2-39C24D0564E2}">
  <dimension ref="A1:AB93"/>
  <sheetViews>
    <sheetView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E11" sqref="E11"/>
    </sheetView>
  </sheetViews>
  <sheetFormatPr defaultColWidth="11.375" defaultRowHeight="15" customHeight="1" x14ac:dyDescent="0.4"/>
  <cols>
    <col min="1" max="2" width="5" style="15" customWidth="1"/>
    <col min="3" max="3" width="15" style="15" customWidth="1"/>
    <col min="4" max="27" width="22.5" style="15" customWidth="1"/>
    <col min="28" max="28" width="11.375" style="16"/>
    <col min="29" max="16384" width="11.375" style="15"/>
  </cols>
  <sheetData>
    <row r="1" spans="1:27" ht="15" customHeight="1" x14ac:dyDescent="0.4">
      <c r="C1" s="124" t="s">
        <v>53</v>
      </c>
      <c r="D1" s="126" t="s">
        <v>52</v>
      </c>
    </row>
    <row r="2" spans="1:27" ht="15" customHeight="1" thickBot="1" x14ac:dyDescent="0.45">
      <c r="A2" s="16"/>
      <c r="B2" s="16"/>
      <c r="C2" s="125"/>
      <c r="D2" s="127"/>
      <c r="E2" s="16"/>
      <c r="F2" s="16"/>
    </row>
    <row r="3" spans="1:27" ht="15" customHeight="1" x14ac:dyDescent="0.4">
      <c r="A3" s="16"/>
      <c r="B3" s="16"/>
      <c r="C3" s="18"/>
      <c r="D3" s="128"/>
      <c r="E3" s="128"/>
    </row>
    <row r="4" spans="1:27" ht="15" customHeight="1" x14ac:dyDescent="0.4">
      <c r="D4" s="42" t="s">
        <v>1</v>
      </c>
    </row>
    <row r="5" spans="1:27" ht="15" customHeight="1" x14ac:dyDescent="0.4">
      <c r="A5" s="16">
        <v>1</v>
      </c>
      <c r="B5" s="129" t="s">
        <v>19</v>
      </c>
      <c r="C5" s="129"/>
      <c r="D5" s="17">
        <v>201910</v>
      </c>
      <c r="E5" s="17">
        <v>202010</v>
      </c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</row>
    <row r="6" spans="1:27" ht="15" customHeight="1" x14ac:dyDescent="0.4">
      <c r="A6" s="16">
        <v>2</v>
      </c>
      <c r="B6" s="130"/>
      <c r="C6" s="24" t="s">
        <v>0</v>
      </c>
      <c r="D6" s="25">
        <v>43739</v>
      </c>
      <c r="E6" s="25">
        <v>44105</v>
      </c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6"/>
    </row>
    <row r="7" spans="1:27" ht="15" customHeight="1" x14ac:dyDescent="0.4">
      <c r="A7" s="16">
        <v>3</v>
      </c>
      <c r="B7" s="131"/>
      <c r="C7" s="43" t="s">
        <v>50</v>
      </c>
      <c r="D7" s="44" t="s">
        <v>3</v>
      </c>
      <c r="E7" s="44" t="s">
        <v>49</v>
      </c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6"/>
    </row>
    <row r="8" spans="1:27" ht="15" customHeight="1" x14ac:dyDescent="0.4">
      <c r="A8" s="16">
        <v>4</v>
      </c>
      <c r="B8" s="131"/>
      <c r="C8" s="27" t="s">
        <v>17</v>
      </c>
      <c r="D8" s="28">
        <v>43374</v>
      </c>
      <c r="E8" s="28">
        <v>43922</v>
      </c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30"/>
    </row>
    <row r="9" spans="1:27" ht="15" customHeight="1" x14ac:dyDescent="0.4">
      <c r="A9" s="16">
        <v>5</v>
      </c>
      <c r="B9" s="132"/>
      <c r="C9" s="31" t="s">
        <v>18</v>
      </c>
      <c r="D9" s="32">
        <v>43738</v>
      </c>
      <c r="E9" s="32">
        <v>44104</v>
      </c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3"/>
    </row>
    <row r="10" spans="1:27" ht="15" customHeight="1" x14ac:dyDescent="0.4">
      <c r="A10" s="16">
        <v>6</v>
      </c>
      <c r="B10" s="123" t="s">
        <v>20</v>
      </c>
      <c r="C10" s="34" t="s">
        <v>29</v>
      </c>
      <c r="D10" s="35" t="s">
        <v>51</v>
      </c>
      <c r="E10" s="35" t="s">
        <v>51</v>
      </c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6"/>
    </row>
    <row r="11" spans="1:27" ht="15" customHeight="1" x14ac:dyDescent="0.4">
      <c r="A11" s="16">
        <v>7</v>
      </c>
      <c r="B11" s="123"/>
      <c r="C11" s="37" t="s">
        <v>55</v>
      </c>
      <c r="D11" s="48">
        <v>5000000</v>
      </c>
      <c r="E11" s="48">
        <v>2500000</v>
      </c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50"/>
    </row>
    <row r="12" spans="1:27" ht="15" customHeight="1" x14ac:dyDescent="0.4">
      <c r="A12" s="16">
        <v>8</v>
      </c>
      <c r="B12" s="123"/>
      <c r="C12" s="37" t="s">
        <v>56</v>
      </c>
      <c r="D12" s="48">
        <v>4800000</v>
      </c>
      <c r="E12" s="48">
        <v>2700000</v>
      </c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50"/>
    </row>
    <row r="13" spans="1:27" ht="15" customHeight="1" x14ac:dyDescent="0.4">
      <c r="A13" s="16">
        <v>9</v>
      </c>
      <c r="B13" s="123" t="s">
        <v>21</v>
      </c>
      <c r="C13" s="34" t="s">
        <v>29</v>
      </c>
      <c r="D13" s="35" t="s">
        <v>62</v>
      </c>
      <c r="E13" s="35" t="s">
        <v>62</v>
      </c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6"/>
    </row>
    <row r="14" spans="1:27" ht="15" customHeight="1" x14ac:dyDescent="0.4">
      <c r="A14" s="16">
        <v>10</v>
      </c>
      <c r="B14" s="123"/>
      <c r="C14" s="37" t="s">
        <v>55</v>
      </c>
      <c r="D14" s="48">
        <v>1000000</v>
      </c>
      <c r="E14" s="48">
        <v>500000</v>
      </c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50"/>
    </row>
    <row r="15" spans="1:27" ht="15" customHeight="1" x14ac:dyDescent="0.4">
      <c r="A15" s="16">
        <v>11</v>
      </c>
      <c r="B15" s="123"/>
      <c r="C15" s="37" t="s">
        <v>56</v>
      </c>
      <c r="D15" s="48">
        <v>950000</v>
      </c>
      <c r="E15" s="48">
        <v>550000</v>
      </c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50"/>
    </row>
    <row r="16" spans="1:27" ht="15" customHeight="1" x14ac:dyDescent="0.4">
      <c r="A16" s="16">
        <v>12</v>
      </c>
      <c r="B16" s="123" t="s">
        <v>22</v>
      </c>
      <c r="C16" s="34" t="s">
        <v>29</v>
      </c>
      <c r="D16" s="35" t="s">
        <v>64</v>
      </c>
      <c r="E16" s="35" t="s">
        <v>64</v>
      </c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6"/>
    </row>
    <row r="17" spans="1:27" ht="15" customHeight="1" x14ac:dyDescent="0.4">
      <c r="A17" s="16">
        <v>13</v>
      </c>
      <c r="B17" s="123"/>
      <c r="C17" s="37" t="s">
        <v>55</v>
      </c>
      <c r="D17" s="48">
        <v>500000</v>
      </c>
      <c r="E17" s="48">
        <v>250000</v>
      </c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50"/>
    </row>
    <row r="18" spans="1:27" ht="15" customHeight="1" x14ac:dyDescent="0.4">
      <c r="A18" s="16">
        <v>14</v>
      </c>
      <c r="B18" s="123"/>
      <c r="C18" s="37" t="s">
        <v>56</v>
      </c>
      <c r="D18" s="48">
        <v>470000</v>
      </c>
      <c r="E18" s="48">
        <v>280000</v>
      </c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50"/>
    </row>
    <row r="19" spans="1:27" ht="15" customHeight="1" x14ac:dyDescent="0.4">
      <c r="A19" s="16">
        <v>15</v>
      </c>
      <c r="B19" s="123" t="s">
        <v>23</v>
      </c>
      <c r="C19" s="34" t="s">
        <v>29</v>
      </c>
      <c r="D19" s="35" t="s">
        <v>63</v>
      </c>
      <c r="E19" s="35" t="s">
        <v>63</v>
      </c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6"/>
    </row>
    <row r="20" spans="1:27" ht="15" customHeight="1" x14ac:dyDescent="0.4">
      <c r="A20" s="16">
        <v>16</v>
      </c>
      <c r="B20" s="123"/>
      <c r="C20" s="37" t="s">
        <v>55</v>
      </c>
      <c r="D20" s="48">
        <v>100000</v>
      </c>
      <c r="E20" s="48">
        <v>50000</v>
      </c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50"/>
    </row>
    <row r="21" spans="1:27" ht="15" customHeight="1" x14ac:dyDescent="0.4">
      <c r="A21" s="16">
        <v>17</v>
      </c>
      <c r="B21" s="123"/>
      <c r="C21" s="37" t="s">
        <v>56</v>
      </c>
      <c r="D21" s="48">
        <v>90000</v>
      </c>
      <c r="E21" s="48">
        <v>60000</v>
      </c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50"/>
    </row>
    <row r="22" spans="1:27" ht="15" customHeight="1" x14ac:dyDescent="0.4">
      <c r="A22" s="16">
        <v>18</v>
      </c>
      <c r="B22" s="123" t="s">
        <v>24</v>
      </c>
      <c r="C22" s="34" t="s">
        <v>29</v>
      </c>
      <c r="D22" s="35" t="s">
        <v>65</v>
      </c>
      <c r="E22" s="35" t="s">
        <v>65</v>
      </c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6"/>
    </row>
    <row r="23" spans="1:27" ht="15" customHeight="1" x14ac:dyDescent="0.4">
      <c r="A23" s="16">
        <v>19</v>
      </c>
      <c r="B23" s="123"/>
      <c r="C23" s="37" t="s">
        <v>55</v>
      </c>
      <c r="D23" s="48">
        <v>50000</v>
      </c>
      <c r="E23" s="48">
        <v>25000</v>
      </c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50"/>
    </row>
    <row r="24" spans="1:27" ht="15" customHeight="1" x14ac:dyDescent="0.4">
      <c r="A24" s="16">
        <v>20</v>
      </c>
      <c r="B24" s="123"/>
      <c r="C24" s="37" t="s">
        <v>56</v>
      </c>
      <c r="D24" s="48">
        <v>40000</v>
      </c>
      <c r="E24" s="48">
        <v>35000</v>
      </c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50"/>
    </row>
    <row r="25" spans="1:27" ht="15" customHeight="1" x14ac:dyDescent="0.4">
      <c r="A25" s="16">
        <v>21</v>
      </c>
      <c r="B25" s="123" t="s">
        <v>25</v>
      </c>
      <c r="C25" s="34" t="s">
        <v>29</v>
      </c>
      <c r="D25" s="35" t="s">
        <v>65</v>
      </c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6"/>
    </row>
    <row r="26" spans="1:27" ht="15" customHeight="1" x14ac:dyDescent="0.4">
      <c r="A26" s="16">
        <v>22</v>
      </c>
      <c r="B26" s="123"/>
      <c r="C26" s="37" t="s">
        <v>55</v>
      </c>
      <c r="D26" s="48">
        <v>50000</v>
      </c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50"/>
    </row>
    <row r="27" spans="1:27" ht="15" customHeight="1" x14ac:dyDescent="0.4">
      <c r="A27" s="16">
        <v>23</v>
      </c>
      <c r="B27" s="123"/>
      <c r="C27" s="37" t="s">
        <v>56</v>
      </c>
      <c r="D27" s="48">
        <v>40000</v>
      </c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50"/>
    </row>
    <row r="28" spans="1:27" ht="15" customHeight="1" x14ac:dyDescent="0.4">
      <c r="A28" s="16">
        <v>24</v>
      </c>
      <c r="B28" s="123" t="s">
        <v>26</v>
      </c>
      <c r="C28" s="34" t="s">
        <v>29</v>
      </c>
      <c r="D28" s="35" t="s">
        <v>65</v>
      </c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6"/>
    </row>
    <row r="29" spans="1:27" ht="15" customHeight="1" x14ac:dyDescent="0.4">
      <c r="A29" s="16">
        <v>25</v>
      </c>
      <c r="B29" s="123"/>
      <c r="C29" s="37" t="s">
        <v>55</v>
      </c>
      <c r="D29" s="48">
        <v>50000</v>
      </c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50"/>
    </row>
    <row r="30" spans="1:27" ht="15" customHeight="1" x14ac:dyDescent="0.4">
      <c r="A30" s="16">
        <v>26</v>
      </c>
      <c r="B30" s="123"/>
      <c r="C30" s="37" t="s">
        <v>56</v>
      </c>
      <c r="D30" s="48">
        <v>40000</v>
      </c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50"/>
    </row>
    <row r="31" spans="1:27" ht="15" customHeight="1" x14ac:dyDescent="0.4">
      <c r="A31" s="16">
        <v>27</v>
      </c>
      <c r="B31" s="123" t="s">
        <v>27</v>
      </c>
      <c r="C31" s="34" t="s">
        <v>29</v>
      </c>
      <c r="D31" s="35" t="s">
        <v>65</v>
      </c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6"/>
    </row>
    <row r="32" spans="1:27" ht="15" customHeight="1" x14ac:dyDescent="0.4">
      <c r="A32" s="16">
        <v>28</v>
      </c>
      <c r="B32" s="123"/>
      <c r="C32" s="37" t="s">
        <v>55</v>
      </c>
      <c r="D32" s="48">
        <v>50000</v>
      </c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50"/>
    </row>
    <row r="33" spans="1:27" ht="15" customHeight="1" x14ac:dyDescent="0.4">
      <c r="A33" s="16">
        <v>29</v>
      </c>
      <c r="B33" s="123"/>
      <c r="C33" s="37" t="s">
        <v>56</v>
      </c>
      <c r="D33" s="48">
        <v>40000</v>
      </c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50"/>
    </row>
    <row r="34" spans="1:27" ht="15" customHeight="1" x14ac:dyDescent="0.4">
      <c r="A34" s="16">
        <v>30</v>
      </c>
      <c r="B34" s="123" t="s">
        <v>28</v>
      </c>
      <c r="C34" s="34" t="s">
        <v>29</v>
      </c>
      <c r="D34" s="35" t="s">
        <v>65</v>
      </c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6"/>
    </row>
    <row r="35" spans="1:27" ht="15" customHeight="1" x14ac:dyDescent="0.4">
      <c r="A35" s="16">
        <v>31</v>
      </c>
      <c r="B35" s="123"/>
      <c r="C35" s="37" t="s">
        <v>55</v>
      </c>
      <c r="D35" s="48">
        <v>50000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50"/>
    </row>
    <row r="36" spans="1:27" ht="15" customHeight="1" x14ac:dyDescent="0.4">
      <c r="A36" s="16">
        <v>32</v>
      </c>
      <c r="B36" s="123"/>
      <c r="C36" s="37" t="s">
        <v>56</v>
      </c>
      <c r="D36" s="48">
        <v>40000</v>
      </c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50"/>
    </row>
    <row r="37" spans="1:27" ht="15" customHeight="1" x14ac:dyDescent="0.4">
      <c r="A37" s="16">
        <v>33</v>
      </c>
      <c r="B37" s="122" t="s">
        <v>30</v>
      </c>
      <c r="C37" s="38" t="s">
        <v>29</v>
      </c>
      <c r="D37" s="39" t="s">
        <v>58</v>
      </c>
      <c r="E37" s="39" t="s">
        <v>58</v>
      </c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40"/>
    </row>
    <row r="38" spans="1:27" ht="15" customHeight="1" x14ac:dyDescent="0.4">
      <c r="A38" s="16">
        <v>34</v>
      </c>
      <c r="B38" s="122"/>
      <c r="C38" s="41" t="s">
        <v>55</v>
      </c>
      <c r="D38" s="51">
        <v>3500000</v>
      </c>
      <c r="E38" s="51">
        <v>1750000</v>
      </c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2"/>
    </row>
    <row r="39" spans="1:27" ht="15" customHeight="1" x14ac:dyDescent="0.4">
      <c r="A39" s="16">
        <v>35</v>
      </c>
      <c r="B39" s="122"/>
      <c r="C39" s="41" t="s">
        <v>57</v>
      </c>
      <c r="D39" s="51">
        <v>3500000</v>
      </c>
      <c r="E39" s="51">
        <v>1750000</v>
      </c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2"/>
    </row>
    <row r="40" spans="1:27" ht="15" customHeight="1" x14ac:dyDescent="0.4">
      <c r="A40" s="16">
        <v>36</v>
      </c>
      <c r="B40" s="122" t="s">
        <v>31</v>
      </c>
      <c r="C40" s="38" t="s">
        <v>29</v>
      </c>
      <c r="D40" s="39" t="s">
        <v>59</v>
      </c>
      <c r="E40" s="39" t="s">
        <v>59</v>
      </c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40"/>
    </row>
    <row r="41" spans="1:27" ht="15" customHeight="1" x14ac:dyDescent="0.4">
      <c r="A41" s="16">
        <v>37</v>
      </c>
      <c r="B41" s="122"/>
      <c r="C41" s="41" t="s">
        <v>55</v>
      </c>
      <c r="D41" s="51">
        <v>300000</v>
      </c>
      <c r="E41" s="51">
        <v>150000</v>
      </c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2"/>
    </row>
    <row r="42" spans="1:27" ht="15" customHeight="1" x14ac:dyDescent="0.4">
      <c r="A42" s="16">
        <v>38</v>
      </c>
      <c r="B42" s="122"/>
      <c r="C42" s="41" t="s">
        <v>57</v>
      </c>
      <c r="D42" s="51">
        <v>300000</v>
      </c>
      <c r="E42" s="51">
        <v>150000</v>
      </c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2"/>
    </row>
    <row r="43" spans="1:27" ht="15" customHeight="1" x14ac:dyDescent="0.4">
      <c r="A43" s="16">
        <v>39</v>
      </c>
      <c r="B43" s="122" t="s">
        <v>32</v>
      </c>
      <c r="C43" s="38" t="s">
        <v>29</v>
      </c>
      <c r="D43" s="39" t="s">
        <v>60</v>
      </c>
      <c r="E43" s="39" t="s">
        <v>60</v>
      </c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40"/>
    </row>
    <row r="44" spans="1:27" ht="15" customHeight="1" x14ac:dyDescent="0.4">
      <c r="A44" s="16">
        <v>40</v>
      </c>
      <c r="B44" s="122"/>
      <c r="C44" s="41" t="s">
        <v>55</v>
      </c>
      <c r="D44" s="51">
        <v>700000</v>
      </c>
      <c r="E44" s="51">
        <v>350000</v>
      </c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2"/>
    </row>
    <row r="45" spans="1:27" ht="15" customHeight="1" x14ac:dyDescent="0.4">
      <c r="A45" s="16">
        <v>41</v>
      </c>
      <c r="B45" s="122"/>
      <c r="C45" s="41" t="s">
        <v>57</v>
      </c>
      <c r="D45" s="51">
        <v>700000</v>
      </c>
      <c r="E45" s="51">
        <v>250000</v>
      </c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2"/>
    </row>
    <row r="46" spans="1:27" ht="15" customHeight="1" x14ac:dyDescent="0.4">
      <c r="A46" s="16">
        <v>42</v>
      </c>
      <c r="B46" s="122" t="s">
        <v>33</v>
      </c>
      <c r="C46" s="38" t="s">
        <v>29</v>
      </c>
      <c r="D46" s="39" t="s">
        <v>61</v>
      </c>
      <c r="E46" s="39" t="s">
        <v>61</v>
      </c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40"/>
    </row>
    <row r="47" spans="1:27" ht="15" customHeight="1" x14ac:dyDescent="0.4">
      <c r="A47" s="16">
        <v>43</v>
      </c>
      <c r="B47" s="122"/>
      <c r="C47" s="41" t="s">
        <v>55</v>
      </c>
      <c r="D47" s="51">
        <v>200000</v>
      </c>
      <c r="E47" s="51">
        <v>100000</v>
      </c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2"/>
    </row>
    <row r="48" spans="1:27" ht="15" customHeight="1" x14ac:dyDescent="0.4">
      <c r="A48" s="16">
        <v>44</v>
      </c>
      <c r="B48" s="122"/>
      <c r="C48" s="41" t="s">
        <v>57</v>
      </c>
      <c r="D48" s="51">
        <v>200000</v>
      </c>
      <c r="E48" s="51">
        <v>100000</v>
      </c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2"/>
    </row>
    <row r="49" spans="1:27" ht="15" customHeight="1" x14ac:dyDescent="0.4">
      <c r="A49" s="16">
        <v>45</v>
      </c>
      <c r="B49" s="122" t="s">
        <v>34</v>
      </c>
      <c r="C49" s="38" t="s">
        <v>29</v>
      </c>
      <c r="D49" s="39" t="s">
        <v>66</v>
      </c>
      <c r="E49" s="39" t="s">
        <v>66</v>
      </c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40"/>
    </row>
    <row r="50" spans="1:27" ht="15" customHeight="1" x14ac:dyDescent="0.4">
      <c r="A50" s="16">
        <v>46</v>
      </c>
      <c r="B50" s="122"/>
      <c r="C50" s="41" t="s">
        <v>55</v>
      </c>
      <c r="D50" s="51">
        <v>30000</v>
      </c>
      <c r="E50" s="51">
        <v>15000</v>
      </c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2"/>
    </row>
    <row r="51" spans="1:27" ht="15" customHeight="1" x14ac:dyDescent="0.4">
      <c r="A51" s="16">
        <v>47</v>
      </c>
      <c r="B51" s="122"/>
      <c r="C51" s="41" t="s">
        <v>57</v>
      </c>
      <c r="D51" s="51">
        <v>15000</v>
      </c>
      <c r="E51" s="51">
        <v>15000</v>
      </c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2"/>
    </row>
    <row r="52" spans="1:27" ht="15" customHeight="1" x14ac:dyDescent="0.4">
      <c r="A52" s="16">
        <v>48</v>
      </c>
      <c r="B52" s="122" t="s">
        <v>35</v>
      </c>
      <c r="C52" s="38" t="s">
        <v>29</v>
      </c>
      <c r="D52" s="39" t="s">
        <v>66</v>
      </c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40"/>
    </row>
    <row r="53" spans="1:27" ht="15" customHeight="1" x14ac:dyDescent="0.4">
      <c r="A53" s="16">
        <v>49</v>
      </c>
      <c r="B53" s="122"/>
      <c r="C53" s="41" t="s">
        <v>55</v>
      </c>
      <c r="D53" s="51">
        <v>30000</v>
      </c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2"/>
    </row>
    <row r="54" spans="1:27" ht="15" customHeight="1" x14ac:dyDescent="0.4">
      <c r="A54" s="16">
        <v>50</v>
      </c>
      <c r="B54" s="122"/>
      <c r="C54" s="41" t="s">
        <v>57</v>
      </c>
      <c r="D54" s="51">
        <v>15000</v>
      </c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2"/>
    </row>
    <row r="55" spans="1:27" ht="15" customHeight="1" x14ac:dyDescent="0.4">
      <c r="A55" s="16">
        <v>51</v>
      </c>
      <c r="B55" s="122" t="s">
        <v>36</v>
      </c>
      <c r="C55" s="38" t="s">
        <v>29</v>
      </c>
      <c r="D55" s="39" t="s">
        <v>66</v>
      </c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40"/>
    </row>
    <row r="56" spans="1:27" ht="15" customHeight="1" x14ac:dyDescent="0.4">
      <c r="A56" s="16">
        <v>52</v>
      </c>
      <c r="B56" s="122"/>
      <c r="C56" s="41" t="s">
        <v>55</v>
      </c>
      <c r="D56" s="51">
        <v>30000</v>
      </c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2"/>
    </row>
    <row r="57" spans="1:27" ht="15" customHeight="1" x14ac:dyDescent="0.4">
      <c r="A57" s="16">
        <v>53</v>
      </c>
      <c r="B57" s="122"/>
      <c r="C57" s="41" t="s">
        <v>57</v>
      </c>
      <c r="D57" s="51">
        <v>15000</v>
      </c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2"/>
    </row>
    <row r="58" spans="1:27" ht="15" customHeight="1" x14ac:dyDescent="0.4">
      <c r="A58" s="16">
        <v>54</v>
      </c>
      <c r="B58" s="122" t="s">
        <v>37</v>
      </c>
      <c r="C58" s="38" t="s">
        <v>29</v>
      </c>
      <c r="D58" s="39" t="s">
        <v>66</v>
      </c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40"/>
    </row>
    <row r="59" spans="1:27" ht="15" customHeight="1" x14ac:dyDescent="0.4">
      <c r="A59" s="16">
        <v>55</v>
      </c>
      <c r="B59" s="122"/>
      <c r="C59" s="41" t="s">
        <v>55</v>
      </c>
      <c r="D59" s="51">
        <v>30000</v>
      </c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2"/>
    </row>
    <row r="60" spans="1:27" ht="15" customHeight="1" x14ac:dyDescent="0.4">
      <c r="A60" s="16">
        <v>56</v>
      </c>
      <c r="B60" s="122"/>
      <c r="C60" s="41" t="s">
        <v>57</v>
      </c>
      <c r="D60" s="51">
        <v>15000</v>
      </c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2"/>
    </row>
    <row r="61" spans="1:27" ht="15" customHeight="1" x14ac:dyDescent="0.4">
      <c r="A61" s="16">
        <v>57</v>
      </c>
      <c r="B61" s="122" t="s">
        <v>38</v>
      </c>
      <c r="C61" s="38" t="s">
        <v>29</v>
      </c>
      <c r="D61" s="39" t="s">
        <v>66</v>
      </c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40"/>
    </row>
    <row r="62" spans="1:27" ht="15" customHeight="1" x14ac:dyDescent="0.4">
      <c r="A62" s="16">
        <v>58</v>
      </c>
      <c r="B62" s="122"/>
      <c r="C62" s="41" t="s">
        <v>55</v>
      </c>
      <c r="D62" s="51">
        <v>30000</v>
      </c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2"/>
    </row>
    <row r="63" spans="1:27" ht="15" customHeight="1" x14ac:dyDescent="0.4">
      <c r="A63" s="16">
        <v>59</v>
      </c>
      <c r="B63" s="122"/>
      <c r="C63" s="41" t="s">
        <v>57</v>
      </c>
      <c r="D63" s="51">
        <v>15000</v>
      </c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2"/>
    </row>
    <row r="64" spans="1:27" ht="15" customHeight="1" x14ac:dyDescent="0.4">
      <c r="A64" s="16">
        <v>60</v>
      </c>
      <c r="B64" s="122" t="s">
        <v>39</v>
      </c>
      <c r="C64" s="38" t="s">
        <v>29</v>
      </c>
      <c r="D64" s="39" t="s">
        <v>66</v>
      </c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40"/>
    </row>
    <row r="65" spans="1:27" ht="15" customHeight="1" x14ac:dyDescent="0.4">
      <c r="A65" s="16">
        <v>61</v>
      </c>
      <c r="B65" s="122"/>
      <c r="C65" s="41" t="s">
        <v>55</v>
      </c>
      <c r="D65" s="51">
        <v>30000</v>
      </c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2"/>
    </row>
    <row r="66" spans="1:27" ht="15" customHeight="1" x14ac:dyDescent="0.4">
      <c r="A66" s="16">
        <v>62</v>
      </c>
      <c r="B66" s="122"/>
      <c r="C66" s="41" t="s">
        <v>57</v>
      </c>
      <c r="D66" s="51">
        <v>15000</v>
      </c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2"/>
    </row>
    <row r="67" spans="1:27" ht="15" customHeight="1" x14ac:dyDescent="0.4">
      <c r="A67" s="16">
        <v>63</v>
      </c>
      <c r="B67" s="122" t="s">
        <v>40</v>
      </c>
      <c r="C67" s="38" t="s">
        <v>29</v>
      </c>
      <c r="D67" s="39" t="s">
        <v>66</v>
      </c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40"/>
    </row>
    <row r="68" spans="1:27" ht="15" customHeight="1" x14ac:dyDescent="0.4">
      <c r="A68" s="16">
        <v>64</v>
      </c>
      <c r="B68" s="122"/>
      <c r="C68" s="41" t="s">
        <v>55</v>
      </c>
      <c r="D68" s="51">
        <v>30000</v>
      </c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2"/>
    </row>
    <row r="69" spans="1:27" ht="15" customHeight="1" x14ac:dyDescent="0.4">
      <c r="A69" s="16">
        <v>65</v>
      </c>
      <c r="B69" s="122"/>
      <c r="C69" s="41" t="s">
        <v>57</v>
      </c>
      <c r="D69" s="51">
        <v>15000</v>
      </c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1"/>
      <c r="Z69" s="51"/>
      <c r="AA69" s="52"/>
    </row>
    <row r="70" spans="1:27" ht="15" customHeight="1" x14ac:dyDescent="0.4">
      <c r="A70" s="16">
        <v>66</v>
      </c>
      <c r="B70" s="122" t="s">
        <v>41</v>
      </c>
      <c r="C70" s="38" t="s">
        <v>29</v>
      </c>
      <c r="D70" s="39" t="s">
        <v>66</v>
      </c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40"/>
    </row>
    <row r="71" spans="1:27" ht="15" customHeight="1" x14ac:dyDescent="0.4">
      <c r="A71" s="16">
        <v>67</v>
      </c>
      <c r="B71" s="122"/>
      <c r="C71" s="41" t="s">
        <v>55</v>
      </c>
      <c r="D71" s="51">
        <v>30000</v>
      </c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2"/>
    </row>
    <row r="72" spans="1:27" ht="15" customHeight="1" x14ac:dyDescent="0.4">
      <c r="A72" s="16">
        <v>68</v>
      </c>
      <c r="B72" s="122"/>
      <c r="C72" s="41" t="s">
        <v>57</v>
      </c>
      <c r="D72" s="51">
        <v>15000</v>
      </c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2"/>
    </row>
    <row r="73" spans="1:27" ht="15" customHeight="1" x14ac:dyDescent="0.4">
      <c r="A73" s="16">
        <v>69</v>
      </c>
      <c r="B73" s="122" t="s">
        <v>42</v>
      </c>
      <c r="C73" s="38" t="s">
        <v>29</v>
      </c>
      <c r="D73" s="39" t="s">
        <v>66</v>
      </c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40"/>
    </row>
    <row r="74" spans="1:27" ht="15" customHeight="1" x14ac:dyDescent="0.4">
      <c r="A74" s="16">
        <v>70</v>
      </c>
      <c r="B74" s="122"/>
      <c r="C74" s="41" t="s">
        <v>55</v>
      </c>
      <c r="D74" s="51">
        <v>30000</v>
      </c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2"/>
    </row>
    <row r="75" spans="1:27" ht="15" customHeight="1" x14ac:dyDescent="0.4">
      <c r="A75" s="16">
        <v>71</v>
      </c>
      <c r="B75" s="122"/>
      <c r="C75" s="41" t="s">
        <v>57</v>
      </c>
      <c r="D75" s="51">
        <v>15000</v>
      </c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2"/>
    </row>
    <row r="76" spans="1:27" ht="15" customHeight="1" x14ac:dyDescent="0.4">
      <c r="A76" s="16">
        <v>72</v>
      </c>
      <c r="B76" s="122" t="s">
        <v>43</v>
      </c>
      <c r="C76" s="38" t="s">
        <v>29</v>
      </c>
      <c r="D76" s="39" t="s">
        <v>66</v>
      </c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40"/>
    </row>
    <row r="77" spans="1:27" ht="15" customHeight="1" x14ac:dyDescent="0.4">
      <c r="A77" s="16">
        <v>73</v>
      </c>
      <c r="B77" s="122"/>
      <c r="C77" s="41" t="s">
        <v>55</v>
      </c>
      <c r="D77" s="51">
        <v>30000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2"/>
    </row>
    <row r="78" spans="1:27" ht="15" customHeight="1" x14ac:dyDescent="0.4">
      <c r="A78" s="16">
        <v>74</v>
      </c>
      <c r="B78" s="122"/>
      <c r="C78" s="41" t="s">
        <v>57</v>
      </c>
      <c r="D78" s="51">
        <v>15000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51"/>
      <c r="W78" s="51"/>
      <c r="X78" s="51"/>
      <c r="Y78" s="51"/>
      <c r="Z78" s="51"/>
      <c r="AA78" s="52"/>
    </row>
    <row r="79" spans="1:27" ht="15" customHeight="1" x14ac:dyDescent="0.4">
      <c r="A79" s="16">
        <v>75</v>
      </c>
      <c r="B79" s="122" t="s">
        <v>44</v>
      </c>
      <c r="C79" s="38" t="s">
        <v>29</v>
      </c>
      <c r="D79" s="39" t="s">
        <v>66</v>
      </c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40"/>
    </row>
    <row r="80" spans="1:27" ht="15" customHeight="1" x14ac:dyDescent="0.4">
      <c r="A80" s="16">
        <v>76</v>
      </c>
      <c r="B80" s="122"/>
      <c r="C80" s="41" t="s">
        <v>55</v>
      </c>
      <c r="D80" s="51">
        <v>30000</v>
      </c>
      <c r="E80" s="51"/>
      <c r="F80" s="51"/>
      <c r="G80" s="51"/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  <c r="V80" s="51"/>
      <c r="W80" s="51"/>
      <c r="X80" s="51"/>
      <c r="Y80" s="51"/>
      <c r="Z80" s="51"/>
      <c r="AA80" s="52"/>
    </row>
    <row r="81" spans="1:27" ht="15" customHeight="1" x14ac:dyDescent="0.4">
      <c r="A81" s="16">
        <v>77</v>
      </c>
      <c r="B81" s="122"/>
      <c r="C81" s="41" t="s">
        <v>57</v>
      </c>
      <c r="D81" s="51">
        <v>15000</v>
      </c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2"/>
    </row>
    <row r="82" spans="1:27" ht="15" customHeight="1" x14ac:dyDescent="0.4">
      <c r="A82" s="16">
        <v>78</v>
      </c>
      <c r="B82" s="122" t="s">
        <v>45</v>
      </c>
      <c r="C82" s="38" t="s">
        <v>29</v>
      </c>
      <c r="D82" s="39" t="s">
        <v>66</v>
      </c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40"/>
    </row>
    <row r="83" spans="1:27" ht="15" customHeight="1" x14ac:dyDescent="0.4">
      <c r="A83" s="16">
        <v>79</v>
      </c>
      <c r="B83" s="122"/>
      <c r="C83" s="41" t="s">
        <v>55</v>
      </c>
      <c r="D83" s="51">
        <v>30000</v>
      </c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2"/>
    </row>
    <row r="84" spans="1:27" ht="15" customHeight="1" x14ac:dyDescent="0.4">
      <c r="A84" s="16">
        <v>80</v>
      </c>
      <c r="B84" s="122"/>
      <c r="C84" s="41" t="s">
        <v>57</v>
      </c>
      <c r="D84" s="51">
        <v>15000</v>
      </c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2"/>
    </row>
    <row r="85" spans="1:27" ht="15" customHeight="1" x14ac:dyDescent="0.4">
      <c r="A85" s="16">
        <v>81</v>
      </c>
      <c r="B85" s="122" t="s">
        <v>46</v>
      </c>
      <c r="C85" s="38" t="s">
        <v>29</v>
      </c>
      <c r="D85" s="39" t="s">
        <v>66</v>
      </c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40"/>
    </row>
    <row r="86" spans="1:27" ht="15" customHeight="1" x14ac:dyDescent="0.4">
      <c r="A86" s="16">
        <v>82</v>
      </c>
      <c r="B86" s="122"/>
      <c r="C86" s="41" t="s">
        <v>55</v>
      </c>
      <c r="D86" s="51">
        <v>30000</v>
      </c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  <c r="V86" s="51"/>
      <c r="W86" s="51"/>
      <c r="X86" s="51"/>
      <c r="Y86" s="51"/>
      <c r="Z86" s="51"/>
      <c r="AA86" s="52"/>
    </row>
    <row r="87" spans="1:27" ht="15" customHeight="1" x14ac:dyDescent="0.4">
      <c r="A87" s="16">
        <v>83</v>
      </c>
      <c r="B87" s="122"/>
      <c r="C87" s="41" t="s">
        <v>57</v>
      </c>
      <c r="D87" s="51">
        <v>15000</v>
      </c>
      <c r="E87" s="51"/>
      <c r="F87" s="51"/>
      <c r="G87" s="51"/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  <c r="V87" s="51"/>
      <c r="W87" s="51"/>
      <c r="X87" s="51"/>
      <c r="Y87" s="51"/>
      <c r="Z87" s="51"/>
      <c r="AA87" s="52"/>
    </row>
    <row r="88" spans="1:27" ht="15" customHeight="1" x14ac:dyDescent="0.4">
      <c r="A88" s="16">
        <v>84</v>
      </c>
      <c r="B88" s="122" t="s">
        <v>47</v>
      </c>
      <c r="C88" s="38" t="s">
        <v>29</v>
      </c>
      <c r="D88" s="39" t="s">
        <v>66</v>
      </c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40"/>
    </row>
    <row r="89" spans="1:27" ht="15" customHeight="1" x14ac:dyDescent="0.4">
      <c r="A89" s="16">
        <v>85</v>
      </c>
      <c r="B89" s="122"/>
      <c r="C89" s="41" t="s">
        <v>55</v>
      </c>
      <c r="D89" s="51">
        <v>30000</v>
      </c>
      <c r="E89" s="51"/>
      <c r="F89" s="51"/>
      <c r="G89" s="51"/>
      <c r="H89" s="51"/>
      <c r="I89" s="51"/>
      <c r="J89" s="51"/>
      <c r="K89" s="51"/>
      <c r="L89" s="51"/>
      <c r="M89" s="51"/>
      <c r="N89" s="51"/>
      <c r="O89" s="51"/>
      <c r="P89" s="51"/>
      <c r="Q89" s="51"/>
      <c r="R89" s="51"/>
      <c r="S89" s="51"/>
      <c r="T89" s="51"/>
      <c r="U89" s="51"/>
      <c r="V89" s="51"/>
      <c r="W89" s="51"/>
      <c r="X89" s="51"/>
      <c r="Y89" s="51"/>
      <c r="Z89" s="51"/>
      <c r="AA89" s="52"/>
    </row>
    <row r="90" spans="1:27" ht="15" customHeight="1" x14ac:dyDescent="0.4">
      <c r="A90" s="16">
        <v>86</v>
      </c>
      <c r="B90" s="122"/>
      <c r="C90" s="41" t="s">
        <v>57</v>
      </c>
      <c r="D90" s="51">
        <v>15000</v>
      </c>
      <c r="E90" s="51"/>
      <c r="F90" s="51"/>
      <c r="G90" s="51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1"/>
      <c r="W90" s="51"/>
      <c r="X90" s="51"/>
      <c r="Y90" s="51"/>
      <c r="Z90" s="51"/>
      <c r="AA90" s="52"/>
    </row>
    <row r="91" spans="1:27" ht="15" customHeight="1" x14ac:dyDescent="0.4">
      <c r="A91" s="16">
        <v>87</v>
      </c>
      <c r="B91" s="122" t="s">
        <v>48</v>
      </c>
      <c r="C91" s="38" t="s">
        <v>29</v>
      </c>
      <c r="D91" s="39" t="s">
        <v>66</v>
      </c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40"/>
    </row>
    <row r="92" spans="1:27" ht="15" customHeight="1" x14ac:dyDescent="0.4">
      <c r="A92" s="16">
        <v>88</v>
      </c>
      <c r="B92" s="122"/>
      <c r="C92" s="41" t="s">
        <v>55</v>
      </c>
      <c r="D92" s="51">
        <v>30000</v>
      </c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51"/>
      <c r="U92" s="51"/>
      <c r="V92" s="51"/>
      <c r="W92" s="51"/>
      <c r="X92" s="51"/>
      <c r="Y92" s="51"/>
      <c r="Z92" s="51"/>
      <c r="AA92" s="52"/>
    </row>
    <row r="93" spans="1:27" ht="15" customHeight="1" x14ac:dyDescent="0.4">
      <c r="A93" s="16">
        <v>89</v>
      </c>
      <c r="B93" s="122"/>
      <c r="C93" s="49" t="s">
        <v>57</v>
      </c>
      <c r="D93" s="53">
        <v>15000</v>
      </c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  <c r="AA93" s="54"/>
    </row>
  </sheetData>
  <mergeCells count="33">
    <mergeCell ref="B88:B90"/>
    <mergeCell ref="B91:B93"/>
    <mergeCell ref="B76:B78"/>
    <mergeCell ref="B6:B9"/>
    <mergeCell ref="B61:B63"/>
    <mergeCell ref="B64:B66"/>
    <mergeCell ref="B67:B69"/>
    <mergeCell ref="B70:B72"/>
    <mergeCell ref="B73:B75"/>
    <mergeCell ref="B46:B48"/>
    <mergeCell ref="B49:B51"/>
    <mergeCell ref="B52:B54"/>
    <mergeCell ref="B55:B57"/>
    <mergeCell ref="B58:B60"/>
    <mergeCell ref="B31:B33"/>
    <mergeCell ref="C1:C2"/>
    <mergeCell ref="D1:D2"/>
    <mergeCell ref="B79:B81"/>
    <mergeCell ref="B82:B84"/>
    <mergeCell ref="B10:B12"/>
    <mergeCell ref="B13:B15"/>
    <mergeCell ref="B16:B18"/>
    <mergeCell ref="D3:E3"/>
    <mergeCell ref="B19:B21"/>
    <mergeCell ref="B22:B24"/>
    <mergeCell ref="B5:C5"/>
    <mergeCell ref="B85:B87"/>
    <mergeCell ref="B37:B39"/>
    <mergeCell ref="B40:B42"/>
    <mergeCell ref="B43:B45"/>
    <mergeCell ref="B25:B27"/>
    <mergeCell ref="B28:B30"/>
    <mergeCell ref="B34:B36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会計報告書（出力）</vt:lpstr>
      <vt:lpstr>入力シート</vt:lpstr>
      <vt:lpstr>'会計報告書（出力）'!Print_Area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mt.sakota</cp:lastModifiedBy>
  <cp:lastPrinted>2019-10-27T03:56:44Z</cp:lastPrinted>
  <dcterms:created xsi:type="dcterms:W3CDTF">2019-09-25T12:12:32Z</dcterms:created>
  <dcterms:modified xsi:type="dcterms:W3CDTF">2019-10-30T02:07:15Z</dcterms:modified>
</cp:coreProperties>
</file>